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cuments\MODULAR\Sales 2024\Прайс 2024\от апреля 2024\"/>
    </mc:Choice>
  </mc:AlternateContent>
  <xr:revisionPtr revIDLastSave="0" documentId="8_{5B1DA47B-71D2-4C65-B238-5870E96444E3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Рар_Модули" sheetId="1" r:id="rId1"/>
    <sheet name="Sheet1" sheetId="5" r:id="rId2"/>
    <sheet name="Packages" sheetId="4" r:id="rId3"/>
    <sheet name="Furniture" sheetId="2" r:id="rId4"/>
    <sheet name="Compare" sheetId="3" r:id="rId5"/>
  </sheets>
  <definedNames>
    <definedName name="_xlnm._FilterDatabase" localSheetId="0" hidden="1">Рар_Модули!$A$1:$AM$312</definedName>
    <definedName name="_xlnm.Print_Titles" localSheetId="3">Furniture!$1:$5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06" i="1" l="1"/>
  <c r="W106" i="1"/>
  <c r="T77" i="1"/>
  <c r="U77" i="1" s="1"/>
  <c r="T78" i="1"/>
  <c r="U78" i="1" s="1"/>
  <c r="T75" i="1"/>
  <c r="T76" i="1"/>
  <c r="U76" i="1" s="1"/>
  <c r="R75" i="1"/>
  <c r="S75" i="1"/>
  <c r="Q76" i="1"/>
  <c r="R76" i="1" s="1"/>
  <c r="S76" i="1"/>
  <c r="W76" i="1"/>
  <c r="X76" i="1"/>
  <c r="Y76" i="1"/>
  <c r="Z76" i="1"/>
  <c r="AA76" i="1"/>
  <c r="AB76" i="1" s="1"/>
  <c r="AC76" i="1" s="1"/>
  <c r="AD76" i="1" s="1"/>
  <c r="AE76" i="1" s="1"/>
  <c r="AF76" i="1" s="1"/>
  <c r="AG76" i="1" s="1"/>
  <c r="AH76" i="1" s="1"/>
  <c r="AI76" i="1" s="1"/>
  <c r="AJ76" i="1" s="1"/>
  <c r="AK76" i="1" s="1"/>
  <c r="AL76" i="1" s="1"/>
  <c r="AM76" i="1" s="1"/>
  <c r="Q77" i="1"/>
  <c r="R77" i="1"/>
  <c r="S77" i="1"/>
  <c r="W77" i="1"/>
  <c r="X77" i="1" s="1"/>
  <c r="Z77" i="1"/>
  <c r="AA77" i="1"/>
  <c r="AB77" i="1"/>
  <c r="AC77" i="1" s="1"/>
  <c r="AD77" i="1" s="1"/>
  <c r="AE77" i="1" s="1"/>
  <c r="AF77" i="1" s="1"/>
  <c r="AG77" i="1" s="1"/>
  <c r="AH77" i="1" s="1"/>
  <c r="AI77" i="1" s="1"/>
  <c r="AJ77" i="1" s="1"/>
  <c r="AK77" i="1" s="1"/>
  <c r="AL77" i="1" s="1"/>
  <c r="AM77" i="1" s="1"/>
  <c r="Q75" i="1"/>
  <c r="O76" i="1"/>
  <c r="O75" i="1"/>
  <c r="O77" i="1"/>
  <c r="AA55" i="1"/>
  <c r="Q55" i="1"/>
  <c r="R55" i="1"/>
  <c r="S55" i="1"/>
  <c r="T55" i="1"/>
  <c r="U55" i="1" s="1"/>
  <c r="V55" i="1"/>
  <c r="W55" i="1"/>
  <c r="X55" i="1" s="1"/>
  <c r="Y55" i="1"/>
  <c r="Z55" i="1"/>
  <c r="O55" i="1"/>
  <c r="P55" i="1" s="1"/>
  <c r="AA54" i="1"/>
  <c r="W54" i="1"/>
  <c r="X54" i="1" s="1"/>
  <c r="T54" i="1"/>
  <c r="U54" i="1" s="1"/>
  <c r="Q54" i="1"/>
  <c r="R54" i="1" s="1"/>
  <c r="O54" i="1"/>
  <c r="M76" i="1"/>
  <c r="M75" i="1"/>
  <c r="M113" i="1"/>
  <c r="M112" i="1"/>
  <c r="M109" i="1"/>
  <c r="M108" i="1"/>
  <c r="M107" i="1"/>
  <c r="T107" i="1" s="1"/>
  <c r="V107" i="1" s="1"/>
  <c r="M106" i="1"/>
  <c r="M96" i="1"/>
  <c r="M101" i="1"/>
  <c r="M100" i="1"/>
  <c r="M99" i="1"/>
  <c r="M98" i="1"/>
  <c r="M91" i="1"/>
  <c r="M84" i="1"/>
  <c r="O78" i="1"/>
  <c r="P78" i="1" s="1"/>
  <c r="Q78" i="1"/>
  <c r="R78" i="1" s="1"/>
  <c r="W78" i="1"/>
  <c r="X78" i="1" s="1"/>
  <c r="AA78" i="1"/>
  <c r="AB78" i="1" s="1"/>
  <c r="AC78" i="1" s="1"/>
  <c r="AD78" i="1" s="1"/>
  <c r="AE78" i="1" s="1"/>
  <c r="AF78" i="1" s="1"/>
  <c r="AG78" i="1" s="1"/>
  <c r="AH78" i="1" s="1"/>
  <c r="AI78" i="1" s="1"/>
  <c r="AJ78" i="1" s="1"/>
  <c r="AK78" i="1" s="1"/>
  <c r="AL78" i="1" s="1"/>
  <c r="AM78" i="1" s="1"/>
  <c r="O79" i="1"/>
  <c r="P79" i="1" s="1"/>
  <c r="Q79" i="1"/>
  <c r="S79" i="1" s="1"/>
  <c r="T79" i="1"/>
  <c r="U79" i="1" s="1"/>
  <c r="W79" i="1"/>
  <c r="Y79" i="1" s="1"/>
  <c r="Z79" i="1"/>
  <c r="AA79" i="1"/>
  <c r="AB79" i="1" s="1"/>
  <c r="AC79" i="1" s="1"/>
  <c r="AD79" i="1" s="1"/>
  <c r="AE79" i="1" s="1"/>
  <c r="AF79" i="1" s="1"/>
  <c r="AG79" i="1" s="1"/>
  <c r="AH79" i="1" s="1"/>
  <c r="AI79" i="1" s="1"/>
  <c r="AJ79" i="1" s="1"/>
  <c r="AK79" i="1" s="1"/>
  <c r="AL79" i="1" s="1"/>
  <c r="AM79" i="1" s="1"/>
  <c r="O80" i="1"/>
  <c r="P80" i="1" s="1"/>
  <c r="Q80" i="1"/>
  <c r="S80" i="1" s="1"/>
  <c r="T80" i="1"/>
  <c r="V80" i="1" s="1"/>
  <c r="W80" i="1"/>
  <c r="X80" i="1" s="1"/>
  <c r="AA80" i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W49" i="1"/>
  <c r="T49" i="1"/>
  <c r="M48" i="1"/>
  <c r="S27" i="1"/>
  <c r="T27" i="1" s="1"/>
  <c r="S28" i="1"/>
  <c r="U28" i="1" s="1"/>
  <c r="S29" i="1"/>
  <c r="T29" i="1" s="1"/>
  <c r="R27" i="1"/>
  <c r="R28" i="1"/>
  <c r="R29" i="1"/>
  <c r="V27" i="1"/>
  <c r="Y27" i="1" s="1"/>
  <c r="Z27" i="1"/>
  <c r="AA27" i="1"/>
  <c r="AB27" i="1" s="1"/>
  <c r="AC27" i="1" s="1"/>
  <c r="AD27" i="1" s="1"/>
  <c r="AE27" i="1" s="1"/>
  <c r="AF27" i="1" s="1"/>
  <c r="AG27" i="1" s="1"/>
  <c r="AH27" i="1" s="1"/>
  <c r="AI27" i="1" s="1"/>
  <c r="AJ27" i="1" s="1"/>
  <c r="AK27" i="1" s="1"/>
  <c r="AL27" i="1" s="1"/>
  <c r="V28" i="1"/>
  <c r="X28" i="1" s="1"/>
  <c r="Z28" i="1"/>
  <c r="AA28" i="1" s="1"/>
  <c r="AB28" i="1" s="1"/>
  <c r="AC28" i="1" s="1"/>
  <c r="AD28" i="1" s="1"/>
  <c r="AE28" i="1" s="1"/>
  <c r="AF28" i="1" s="1"/>
  <c r="AG28" i="1" s="1"/>
  <c r="AH28" i="1" s="1"/>
  <c r="AI28" i="1" s="1"/>
  <c r="AJ28" i="1" s="1"/>
  <c r="AK28" i="1" s="1"/>
  <c r="AL28" i="1" s="1"/>
  <c r="V29" i="1"/>
  <c r="Y29" i="1" s="1"/>
  <c r="X29" i="1"/>
  <c r="Z29" i="1"/>
  <c r="AA29" i="1" s="1"/>
  <c r="AB29" i="1" s="1"/>
  <c r="AC29" i="1" s="1"/>
  <c r="AD29" i="1" s="1"/>
  <c r="AE29" i="1" s="1"/>
  <c r="AF29" i="1" s="1"/>
  <c r="AG29" i="1" s="1"/>
  <c r="AH29" i="1" s="1"/>
  <c r="AI29" i="1" s="1"/>
  <c r="AJ29" i="1" s="1"/>
  <c r="AK29" i="1" s="1"/>
  <c r="AL29" i="1" s="1"/>
  <c r="Z26" i="1"/>
  <c r="V26" i="1"/>
  <c r="S26" i="1"/>
  <c r="P26" i="1"/>
  <c r="M30" i="1"/>
  <c r="V30" i="1" s="1"/>
  <c r="Z8" i="1"/>
  <c r="V8" i="1"/>
  <c r="S8" i="1"/>
  <c r="T8" i="1" s="1"/>
  <c r="O26" i="1"/>
  <c r="O8" i="1"/>
  <c r="P8" i="1" s="1"/>
  <c r="Q8" i="1" s="1"/>
  <c r="R8" i="1" s="1"/>
  <c r="M126" i="1"/>
  <c r="M119" i="1"/>
  <c r="AA113" i="1"/>
  <c r="AB113" i="1" s="1"/>
  <c r="AC113" i="1" s="1"/>
  <c r="AD113" i="1" s="1"/>
  <c r="AE113" i="1" s="1"/>
  <c r="AF113" i="1" s="1"/>
  <c r="AG113" i="1" s="1"/>
  <c r="AH113" i="1" s="1"/>
  <c r="AI113" i="1" s="1"/>
  <c r="AJ113" i="1" s="1"/>
  <c r="AK113" i="1" s="1"/>
  <c r="AL113" i="1" s="1"/>
  <c r="AM113" i="1" s="1"/>
  <c r="W113" i="1"/>
  <c r="X113" i="1" s="1"/>
  <c r="T113" i="1"/>
  <c r="U113" i="1" s="1"/>
  <c r="O113" i="1"/>
  <c r="P113" i="1" s="1"/>
  <c r="Q113" i="1"/>
  <c r="S113" i="1" s="1"/>
  <c r="V76" i="1" l="1"/>
  <c r="Y77" i="1"/>
  <c r="V77" i="1"/>
  <c r="W28" i="1"/>
  <c r="W107" i="1"/>
  <c r="X107" i="1" s="1"/>
  <c r="AA107" i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V54" i="1"/>
  <c r="S54" i="1"/>
  <c r="Z107" i="1"/>
  <c r="Y107" i="1"/>
  <c r="U107" i="1"/>
  <c r="Z80" i="1"/>
  <c r="R79" i="1"/>
  <c r="X30" i="1"/>
  <c r="W30" i="1"/>
  <c r="O30" i="1"/>
  <c r="P30" i="1" s="1"/>
  <c r="W29" i="1"/>
  <c r="S30" i="1"/>
  <c r="Z30" i="1"/>
  <c r="AA30" i="1" s="1"/>
  <c r="AB30" i="1" s="1"/>
  <c r="AC30" i="1" s="1"/>
  <c r="AD30" i="1" s="1"/>
  <c r="AE30" i="1" s="1"/>
  <c r="AF30" i="1" s="1"/>
  <c r="AG30" i="1" s="1"/>
  <c r="AH30" i="1" s="1"/>
  <c r="AI30" i="1" s="1"/>
  <c r="AJ30" i="1" s="1"/>
  <c r="AK30" i="1" s="1"/>
  <c r="AL30" i="1" s="1"/>
  <c r="X27" i="1"/>
  <c r="X79" i="1"/>
  <c r="W27" i="1"/>
  <c r="U80" i="1"/>
  <c r="V79" i="1"/>
  <c r="R80" i="1"/>
  <c r="V78" i="1"/>
  <c r="Y80" i="1"/>
  <c r="S78" i="1"/>
  <c r="Z78" i="1"/>
  <c r="Y78" i="1"/>
  <c r="T28" i="1"/>
  <c r="Y30" i="1"/>
  <c r="U29" i="1"/>
  <c r="Y28" i="1"/>
  <c r="U27" i="1"/>
  <c r="R113" i="1"/>
  <c r="Z113" i="1"/>
  <c r="Y113" i="1"/>
  <c r="V113" i="1"/>
  <c r="N95" i="1"/>
  <c r="M95" i="1" s="1"/>
  <c r="N86" i="1"/>
  <c r="M86" i="1" s="1"/>
  <c r="N85" i="1"/>
  <c r="M85" i="1" s="1"/>
  <c r="N65" i="1"/>
  <c r="M65" i="1" s="1"/>
  <c r="N46" i="1"/>
  <c r="M46" i="1" s="1"/>
  <c r="N41" i="1"/>
  <c r="N42" i="1"/>
  <c r="N40" i="1"/>
  <c r="N39" i="1"/>
  <c r="N38" i="1"/>
  <c r="N37" i="1"/>
  <c r="N36" i="1"/>
  <c r="T30" i="1" l="1"/>
  <c r="U30" i="1"/>
  <c r="R30" i="1"/>
  <c r="Q30" i="1"/>
  <c r="L256" i="1"/>
  <c r="L255" i="1"/>
  <c r="L201" i="1"/>
  <c r="L198" i="1"/>
  <c r="L197" i="1"/>
  <c r="L196" i="1"/>
  <c r="L192" i="1"/>
  <c r="L97" i="1"/>
  <c r="O250" i="1"/>
  <c r="O98" i="1"/>
  <c r="O37" i="1"/>
  <c r="P37" i="1" s="1"/>
  <c r="M255" i="1" l="1"/>
  <c r="AA95" i="1"/>
  <c r="AB95" i="1" s="1"/>
  <c r="AC95" i="1" s="1"/>
  <c r="AD95" i="1" s="1"/>
  <c r="AE95" i="1" s="1"/>
  <c r="AF95" i="1" s="1"/>
  <c r="AG95" i="1" s="1"/>
  <c r="AH95" i="1" s="1"/>
  <c r="AI95" i="1" s="1"/>
  <c r="AJ95" i="1" s="1"/>
  <c r="AK95" i="1" s="1"/>
  <c r="AL95" i="1" s="1"/>
  <c r="AM95" i="1" s="1"/>
  <c r="W95" i="1"/>
  <c r="Z95" i="1" s="1"/>
  <c r="T95" i="1"/>
  <c r="V95" i="1" s="1"/>
  <c r="Q95" i="1"/>
  <c r="R95" i="1" s="1"/>
  <c r="O95" i="1"/>
  <c r="P95" i="1" s="1"/>
  <c r="S95" i="1" l="1"/>
  <c r="X95" i="1"/>
  <c r="U95" i="1"/>
  <c r="Y95" i="1"/>
  <c r="O11" i="1" l="1"/>
  <c r="M198" i="1" l="1"/>
  <c r="K33" i="1"/>
  <c r="AA26" i="1"/>
  <c r="AB26" i="1" s="1"/>
  <c r="AC26" i="1" s="1"/>
  <c r="AD26" i="1" s="1"/>
  <c r="AE26" i="1" s="1"/>
  <c r="AF26" i="1" s="1"/>
  <c r="AG26" i="1" s="1"/>
  <c r="AH26" i="1" s="1"/>
  <c r="AI26" i="1" s="1"/>
  <c r="AJ26" i="1" s="1"/>
  <c r="AK26" i="1" s="1"/>
  <c r="AL26" i="1" s="1"/>
  <c r="Y26" i="1"/>
  <c r="T26" i="1"/>
  <c r="Q26" i="1"/>
  <c r="AA8" i="1"/>
  <c r="AB8" i="1" s="1"/>
  <c r="AC8" i="1" s="1"/>
  <c r="AD8" i="1" s="1"/>
  <c r="AE8" i="1" s="1"/>
  <c r="AF8" i="1" s="1"/>
  <c r="AG8" i="1" s="1"/>
  <c r="AH8" i="1" s="1"/>
  <c r="AI8" i="1" s="1"/>
  <c r="AJ8" i="1" s="1"/>
  <c r="AK8" i="1" s="1"/>
  <c r="AL8" i="1" s="1"/>
  <c r="X8" i="1"/>
  <c r="U8" i="1" l="1"/>
  <c r="U26" i="1"/>
  <c r="W26" i="1"/>
  <c r="R26" i="1"/>
  <c r="X26" i="1"/>
  <c r="W8" i="1"/>
  <c r="Y8" i="1"/>
  <c r="O5" i="1" l="1"/>
  <c r="O7" i="1"/>
  <c r="M201" i="1" l="1"/>
  <c r="O39" i="1"/>
  <c r="M256" i="1" l="1"/>
  <c r="M192" i="1"/>
  <c r="M196" i="1"/>
  <c r="M197" i="1"/>
  <c r="M97" i="1"/>
  <c r="O84" i="1"/>
  <c r="I133" i="1"/>
  <c r="I88" i="1"/>
  <c r="I46" i="1"/>
  <c r="O133" i="1" l="1"/>
  <c r="AA133" i="1" l="1"/>
  <c r="W133" i="1"/>
  <c r="T133" i="1"/>
  <c r="Q133" i="1"/>
  <c r="G255" i="1" l="1"/>
  <c r="G197" i="1"/>
  <c r="G88" i="1"/>
  <c r="G109" i="1"/>
  <c r="G108" i="1"/>
  <c r="G107" i="1"/>
  <c r="G101" i="1"/>
  <c r="G100" i="1"/>
  <c r="G99" i="1"/>
  <c r="G98" i="1"/>
  <c r="G91" i="1"/>
  <c r="G96" i="1"/>
  <c r="AB133" i="1" l="1"/>
  <c r="AC133" i="1" s="1"/>
  <c r="AD133" i="1" s="1"/>
  <c r="AE133" i="1" s="1"/>
  <c r="AF133" i="1" s="1"/>
  <c r="AG133" i="1" s="1"/>
  <c r="AH133" i="1" s="1"/>
  <c r="AI133" i="1" s="1"/>
  <c r="AJ133" i="1" s="1"/>
  <c r="AK133" i="1" s="1"/>
  <c r="AL133" i="1" s="1"/>
  <c r="AM133" i="1" s="1"/>
  <c r="Z133" i="1"/>
  <c r="V133" i="1"/>
  <c r="S133" i="1"/>
  <c r="P133" i="1"/>
  <c r="R133" i="1" l="1"/>
  <c r="U133" i="1"/>
  <c r="Y133" i="1"/>
  <c r="X133" i="1"/>
  <c r="O132" i="1"/>
  <c r="P132" i="1" s="1"/>
  <c r="Q132" i="1"/>
  <c r="R132" i="1" s="1"/>
  <c r="T132" i="1"/>
  <c r="U132" i="1" s="1"/>
  <c r="W132" i="1"/>
  <c r="X132" i="1" s="1"/>
  <c r="AA132" i="1"/>
  <c r="AB132" i="1" s="1"/>
  <c r="AC132" i="1" s="1"/>
  <c r="AD132" i="1" s="1"/>
  <c r="AE132" i="1" s="1"/>
  <c r="AF132" i="1" s="1"/>
  <c r="AG132" i="1" s="1"/>
  <c r="AH132" i="1" s="1"/>
  <c r="AI132" i="1" s="1"/>
  <c r="AJ132" i="1" s="1"/>
  <c r="AK132" i="1" s="1"/>
  <c r="AL132" i="1" s="1"/>
  <c r="AM132" i="1" s="1"/>
  <c r="S132" i="1" l="1"/>
  <c r="V132" i="1"/>
  <c r="Z132" i="1"/>
  <c r="Y132" i="1"/>
  <c r="AA131" i="1"/>
  <c r="AB131" i="1" s="1"/>
  <c r="AC131" i="1" s="1"/>
  <c r="AD131" i="1" s="1"/>
  <c r="AE131" i="1" s="1"/>
  <c r="AF131" i="1" s="1"/>
  <c r="AG131" i="1" s="1"/>
  <c r="AH131" i="1" s="1"/>
  <c r="AI131" i="1" s="1"/>
  <c r="AJ131" i="1" s="1"/>
  <c r="AK131" i="1" s="1"/>
  <c r="AL131" i="1" s="1"/>
  <c r="AM131" i="1" s="1"/>
  <c r="W131" i="1"/>
  <c r="Z131" i="1" s="1"/>
  <c r="T131" i="1"/>
  <c r="V131" i="1" s="1"/>
  <c r="Q131" i="1"/>
  <c r="S131" i="1" s="1"/>
  <c r="O131" i="1"/>
  <c r="P131" i="1" s="1"/>
  <c r="AA130" i="1"/>
  <c r="AB130" i="1" s="1"/>
  <c r="AC130" i="1" s="1"/>
  <c r="AD130" i="1" s="1"/>
  <c r="AE130" i="1" s="1"/>
  <c r="AF130" i="1" s="1"/>
  <c r="AG130" i="1" s="1"/>
  <c r="AH130" i="1" s="1"/>
  <c r="AI130" i="1" s="1"/>
  <c r="AJ130" i="1" s="1"/>
  <c r="AK130" i="1" s="1"/>
  <c r="AL130" i="1" s="1"/>
  <c r="AM130" i="1" s="1"/>
  <c r="W130" i="1"/>
  <c r="Z130" i="1" s="1"/>
  <c r="T130" i="1"/>
  <c r="V130" i="1" s="1"/>
  <c r="Q130" i="1"/>
  <c r="S130" i="1" s="1"/>
  <c r="O130" i="1"/>
  <c r="P130" i="1" s="1"/>
  <c r="X130" i="1" l="1"/>
  <c r="Y130" i="1"/>
  <c r="X131" i="1"/>
  <c r="U130" i="1"/>
  <c r="U131" i="1"/>
  <c r="Y131" i="1"/>
  <c r="R130" i="1"/>
  <c r="R131" i="1"/>
  <c r="O109" i="1" l="1"/>
  <c r="O107" i="1" s="1"/>
  <c r="O108" i="1"/>
  <c r="Q96" i="1"/>
  <c r="O96" i="1" l="1"/>
  <c r="T96" i="1"/>
  <c r="V96" i="1" s="1"/>
  <c r="C186" i="1"/>
  <c r="C184" i="1"/>
  <c r="C183" i="1"/>
  <c r="C282" i="1"/>
  <c r="H25" i="4" s="1"/>
  <c r="AA193" i="1"/>
  <c r="AB193" i="1" s="1"/>
  <c r="AC193" i="1" s="1"/>
  <c r="AD193" i="1" s="1"/>
  <c r="AE193" i="1" s="1"/>
  <c r="AF193" i="1" s="1"/>
  <c r="AG193" i="1" s="1"/>
  <c r="AH193" i="1" s="1"/>
  <c r="AI193" i="1" s="1"/>
  <c r="AJ193" i="1" s="1"/>
  <c r="AK193" i="1" s="1"/>
  <c r="AL193" i="1" s="1"/>
  <c r="AM193" i="1" s="1"/>
  <c r="W193" i="1"/>
  <c r="T193" i="1"/>
  <c r="Q193" i="1"/>
  <c r="R193" i="1" s="1"/>
  <c r="O193" i="1"/>
  <c r="O65" i="1"/>
  <c r="P65" i="1" s="1"/>
  <c r="I71" i="4"/>
  <c r="F71" i="4"/>
  <c r="C71" i="4"/>
  <c r="H72" i="4"/>
  <c r="H73" i="4"/>
  <c r="H71" i="4"/>
  <c r="E72" i="4"/>
  <c r="E71" i="4"/>
  <c r="B71" i="4"/>
  <c r="H70" i="4"/>
  <c r="E70" i="4"/>
  <c r="B70" i="4"/>
  <c r="B65" i="4"/>
  <c r="E65" i="4"/>
  <c r="H65" i="4"/>
  <c r="H64" i="4"/>
  <c r="C232" i="1"/>
  <c r="E64" i="4" s="1"/>
  <c r="B64" i="4"/>
  <c r="H56" i="4"/>
  <c r="H57" i="4"/>
  <c r="H58" i="4"/>
  <c r="H59" i="4"/>
  <c r="H55" i="4"/>
  <c r="E56" i="4"/>
  <c r="E57" i="4"/>
  <c r="E58" i="4"/>
  <c r="E59" i="4"/>
  <c r="E55" i="4"/>
  <c r="B59" i="4"/>
  <c r="B56" i="4"/>
  <c r="B57" i="4"/>
  <c r="B58" i="4"/>
  <c r="B55" i="4"/>
  <c r="H54" i="4"/>
  <c r="E54" i="4"/>
  <c r="B54" i="4"/>
  <c r="I47" i="4"/>
  <c r="I48" i="4"/>
  <c r="I49" i="4"/>
  <c r="I50" i="4"/>
  <c r="I46" i="4"/>
  <c r="F47" i="4"/>
  <c r="F48" i="4"/>
  <c r="F49" i="4"/>
  <c r="F46" i="4"/>
  <c r="C47" i="4"/>
  <c r="C48" i="4"/>
  <c r="C49" i="4"/>
  <c r="C46" i="4"/>
  <c r="C310" i="1"/>
  <c r="H48" i="4" s="1"/>
  <c r="C311" i="1"/>
  <c r="H49" i="4" s="1"/>
  <c r="C312" i="1"/>
  <c r="H50" i="4" s="1"/>
  <c r="C309" i="1"/>
  <c r="H47" i="4" s="1"/>
  <c r="C308" i="1"/>
  <c r="H46" i="4" s="1"/>
  <c r="C246" i="1"/>
  <c r="E48" i="4" s="1"/>
  <c r="C247" i="1"/>
  <c r="E49" i="4" s="1"/>
  <c r="C245" i="1"/>
  <c r="E47" i="4" s="1"/>
  <c r="C244" i="1"/>
  <c r="E46" i="4" s="1"/>
  <c r="B47" i="4"/>
  <c r="B48" i="4"/>
  <c r="B49" i="4"/>
  <c r="B46" i="4"/>
  <c r="H45" i="4"/>
  <c r="E45" i="4"/>
  <c r="P107" i="1"/>
  <c r="O121" i="1"/>
  <c r="P121" i="1" s="1"/>
  <c r="O101" i="1"/>
  <c r="O100" i="1"/>
  <c r="Q121" i="1"/>
  <c r="S121" i="1" s="1"/>
  <c r="Q101" i="1"/>
  <c r="R101" i="1" s="1"/>
  <c r="Q100" i="1"/>
  <c r="T121" i="1"/>
  <c r="T101" i="1"/>
  <c r="T100" i="1"/>
  <c r="V100" i="1" s="1"/>
  <c r="W121" i="1"/>
  <c r="X121" i="1" s="1"/>
  <c r="W101" i="1"/>
  <c r="Y101" i="1" s="1"/>
  <c r="W100" i="1"/>
  <c r="AA121" i="1"/>
  <c r="AB121" i="1" s="1"/>
  <c r="AC121" i="1" s="1"/>
  <c r="AD121" i="1" s="1"/>
  <c r="AA101" i="1"/>
  <c r="AB101" i="1" s="1"/>
  <c r="AC101" i="1" s="1"/>
  <c r="AA100" i="1"/>
  <c r="B45" i="4"/>
  <c r="I38" i="4"/>
  <c r="I39" i="4"/>
  <c r="I40" i="4"/>
  <c r="I37" i="4"/>
  <c r="F38" i="4"/>
  <c r="F39" i="4"/>
  <c r="F40" i="4"/>
  <c r="F37" i="4"/>
  <c r="C38" i="4"/>
  <c r="C39" i="4"/>
  <c r="C40" i="4"/>
  <c r="C37" i="4"/>
  <c r="I25" i="4"/>
  <c r="I26" i="4"/>
  <c r="I27" i="4"/>
  <c r="I28" i="4"/>
  <c r="I29" i="4"/>
  <c r="I30" i="4"/>
  <c r="I31" i="4"/>
  <c r="I32" i="4"/>
  <c r="I24" i="4"/>
  <c r="F25" i="4"/>
  <c r="F26" i="4"/>
  <c r="F27" i="4"/>
  <c r="F28" i="4"/>
  <c r="F29" i="4"/>
  <c r="F30" i="4"/>
  <c r="F31" i="4"/>
  <c r="F32" i="4"/>
  <c r="F24" i="4"/>
  <c r="C25" i="4"/>
  <c r="C26" i="4"/>
  <c r="C27" i="4"/>
  <c r="C28" i="4"/>
  <c r="C29" i="4"/>
  <c r="C30" i="4"/>
  <c r="C31" i="4"/>
  <c r="C32" i="4"/>
  <c r="C24" i="4"/>
  <c r="C294" i="1"/>
  <c r="H40" i="4" s="1"/>
  <c r="C293" i="1"/>
  <c r="H39" i="4" s="1"/>
  <c r="C292" i="1"/>
  <c r="H38" i="4" s="1"/>
  <c r="C291" i="1"/>
  <c r="H37" i="4" s="1"/>
  <c r="C289" i="1"/>
  <c r="H32" i="4" s="1"/>
  <c r="C286" i="1"/>
  <c r="H29" i="4" s="1"/>
  <c r="C285" i="1"/>
  <c r="H28" i="4" s="1"/>
  <c r="C284" i="1"/>
  <c r="H27" i="4" s="1"/>
  <c r="C283" i="1"/>
  <c r="H26" i="4" s="1"/>
  <c r="C281" i="1"/>
  <c r="H24" i="4" s="1"/>
  <c r="C278" i="1"/>
  <c r="H18" i="4" s="1"/>
  <c r="C277" i="1"/>
  <c r="H17" i="4" s="1"/>
  <c r="C275" i="1"/>
  <c r="H15" i="4" s="1"/>
  <c r="C274" i="1"/>
  <c r="H14" i="4" s="1"/>
  <c r="C271" i="1"/>
  <c r="H8" i="4" s="1"/>
  <c r="C228" i="1"/>
  <c r="E37" i="4" s="1"/>
  <c r="C229" i="1"/>
  <c r="E38" i="4" s="1"/>
  <c r="C230" i="1"/>
  <c r="E39" i="4" s="1"/>
  <c r="C231" i="1"/>
  <c r="E40" i="4" s="1"/>
  <c r="B37" i="4"/>
  <c r="B38" i="4"/>
  <c r="B39" i="4"/>
  <c r="B40" i="4"/>
  <c r="H36" i="4"/>
  <c r="E36" i="4"/>
  <c r="B36" i="4"/>
  <c r="C287" i="1"/>
  <c r="H30" i="4" s="1"/>
  <c r="H31" i="4"/>
  <c r="C226" i="1"/>
  <c r="E32" i="4" s="1"/>
  <c r="C219" i="1"/>
  <c r="E25" i="4" s="1"/>
  <c r="C220" i="1"/>
  <c r="E26" i="4" s="1"/>
  <c r="C221" i="1"/>
  <c r="E27" i="4" s="1"/>
  <c r="C222" i="1"/>
  <c r="E28" i="4" s="1"/>
  <c r="C223" i="1"/>
  <c r="E29" i="4" s="1"/>
  <c r="C224" i="1"/>
  <c r="E30" i="4" s="1"/>
  <c r="E31" i="4"/>
  <c r="C218" i="1"/>
  <c r="E24" i="4" s="1"/>
  <c r="B32" i="4"/>
  <c r="B30" i="4"/>
  <c r="B31" i="4"/>
  <c r="B25" i="4"/>
  <c r="B26" i="4"/>
  <c r="B27" i="4"/>
  <c r="B28" i="4"/>
  <c r="B29" i="4"/>
  <c r="B24" i="4"/>
  <c r="H23" i="4"/>
  <c r="E23" i="4"/>
  <c r="B23" i="4"/>
  <c r="C215" i="1"/>
  <c r="E18" i="4" s="1"/>
  <c r="C214" i="1"/>
  <c r="E17" i="4" s="1"/>
  <c r="C212" i="1"/>
  <c r="E15" i="4" s="1"/>
  <c r="C211" i="1"/>
  <c r="E14" i="4" s="1"/>
  <c r="I15" i="4"/>
  <c r="I16" i="4"/>
  <c r="I17" i="4"/>
  <c r="I18" i="4"/>
  <c r="I19" i="4"/>
  <c r="I14" i="4"/>
  <c r="F15" i="4"/>
  <c r="F16" i="4"/>
  <c r="F17" i="4"/>
  <c r="F18" i="4"/>
  <c r="F19" i="4"/>
  <c r="F14" i="4"/>
  <c r="C15" i="4"/>
  <c r="C16" i="4"/>
  <c r="C17" i="4"/>
  <c r="C18" i="4"/>
  <c r="C19" i="4"/>
  <c r="C14" i="4"/>
  <c r="I5" i="4"/>
  <c r="I6" i="4"/>
  <c r="I7" i="4"/>
  <c r="I8" i="4"/>
  <c r="I4" i="4"/>
  <c r="F5" i="4"/>
  <c r="F6" i="4"/>
  <c r="F7" i="4"/>
  <c r="F8" i="4"/>
  <c r="F9" i="4"/>
  <c r="F4" i="4"/>
  <c r="H16" i="4"/>
  <c r="H19" i="4"/>
  <c r="E16" i="4"/>
  <c r="E19" i="4"/>
  <c r="B15" i="4"/>
  <c r="B16" i="4"/>
  <c r="B17" i="4"/>
  <c r="B18" i="4"/>
  <c r="B19" i="4"/>
  <c r="B14" i="4"/>
  <c r="H13" i="4"/>
  <c r="E13" i="4"/>
  <c r="B13" i="4"/>
  <c r="C270" i="1"/>
  <c r="H7" i="4" s="1"/>
  <c r="C269" i="1"/>
  <c r="H6" i="4" s="1"/>
  <c r="C268" i="1"/>
  <c r="H5" i="4" s="1"/>
  <c r="C267" i="1"/>
  <c r="H4" i="4" s="1"/>
  <c r="C209" i="1"/>
  <c r="E9" i="4" s="1"/>
  <c r="C208" i="1"/>
  <c r="E8" i="4" s="1"/>
  <c r="C205" i="1"/>
  <c r="E5" i="4" s="1"/>
  <c r="C206" i="1"/>
  <c r="E6" i="4" s="1"/>
  <c r="C207" i="1"/>
  <c r="E7" i="4" s="1"/>
  <c r="C204" i="1"/>
  <c r="E4" i="4" s="1"/>
  <c r="B3" i="4"/>
  <c r="C5" i="4"/>
  <c r="C6" i="4"/>
  <c r="C7" i="4"/>
  <c r="C4" i="4"/>
  <c r="C141" i="1"/>
  <c r="B4" i="4" s="1"/>
  <c r="B5" i="4"/>
  <c r="B6" i="4"/>
  <c r="B7" i="4"/>
  <c r="H3" i="4"/>
  <c r="E3" i="4"/>
  <c r="O261" i="1"/>
  <c r="P261" i="1" s="1"/>
  <c r="O196" i="1"/>
  <c r="P196" i="1" s="1"/>
  <c r="O88" i="1"/>
  <c r="O99" i="1"/>
  <c r="O253" i="1"/>
  <c r="P250" i="1"/>
  <c r="O252" i="1"/>
  <c r="P252" i="1" s="1"/>
  <c r="O259" i="1"/>
  <c r="P259" i="1" s="1"/>
  <c r="O106" i="1"/>
  <c r="P106" i="1" s="1"/>
  <c r="O52" i="1"/>
  <c r="P52" i="1" s="1"/>
  <c r="O119" i="1"/>
  <c r="P119" i="1" s="1"/>
  <c r="O254" i="1"/>
  <c r="O260" i="1"/>
  <c r="P260" i="1" s="1"/>
  <c r="O191" i="1"/>
  <c r="O194" i="1"/>
  <c r="P194" i="1" s="1"/>
  <c r="T197" i="1"/>
  <c r="O199" i="1"/>
  <c r="P199" i="1" s="1"/>
  <c r="O201" i="1"/>
  <c r="P201" i="1" s="1"/>
  <c r="O200" i="1"/>
  <c r="P200" i="1" s="1"/>
  <c r="I13" i="2"/>
  <c r="AA251" i="1"/>
  <c r="AA295" i="1" s="1"/>
  <c r="AA252" i="1"/>
  <c r="AB252" i="1" s="1"/>
  <c r="AC252" i="1" s="1"/>
  <c r="AD252" i="1" s="1"/>
  <c r="AE252" i="1" s="1"/>
  <c r="AF252" i="1" s="1"/>
  <c r="AG252" i="1" s="1"/>
  <c r="AH252" i="1" s="1"/>
  <c r="AI252" i="1" s="1"/>
  <c r="AJ252" i="1" s="1"/>
  <c r="AK252" i="1" s="1"/>
  <c r="AL252" i="1" s="1"/>
  <c r="AM252" i="1" s="1"/>
  <c r="AA253" i="1"/>
  <c r="AB253" i="1" s="1"/>
  <c r="AA254" i="1"/>
  <c r="AB254" i="1" s="1"/>
  <c r="AA256" i="1"/>
  <c r="AB256" i="1" s="1"/>
  <c r="AC256" i="1" s="1"/>
  <c r="AD256" i="1" s="1"/>
  <c r="AE256" i="1" s="1"/>
  <c r="AF256" i="1" s="1"/>
  <c r="AG256" i="1" s="1"/>
  <c r="AH256" i="1" s="1"/>
  <c r="AI256" i="1" s="1"/>
  <c r="AJ256" i="1" s="1"/>
  <c r="AK256" i="1" s="1"/>
  <c r="AL256" i="1" s="1"/>
  <c r="AM256" i="1" s="1"/>
  <c r="AA257" i="1"/>
  <c r="AB257" i="1" s="1"/>
  <c r="AC257" i="1" s="1"/>
  <c r="AD257" i="1" s="1"/>
  <c r="AE257" i="1" s="1"/>
  <c r="AF257" i="1" s="1"/>
  <c r="AG257" i="1" s="1"/>
  <c r="AH257" i="1" s="1"/>
  <c r="AI257" i="1" s="1"/>
  <c r="AJ257" i="1" s="1"/>
  <c r="AK257" i="1" s="1"/>
  <c r="AL257" i="1" s="1"/>
  <c r="AM257" i="1" s="1"/>
  <c r="AA258" i="1"/>
  <c r="AB258" i="1" s="1"/>
  <c r="AC258" i="1" s="1"/>
  <c r="AD258" i="1" s="1"/>
  <c r="AE258" i="1" s="1"/>
  <c r="AF258" i="1" s="1"/>
  <c r="AG258" i="1" s="1"/>
  <c r="AH258" i="1" s="1"/>
  <c r="AI258" i="1" s="1"/>
  <c r="AJ258" i="1" s="1"/>
  <c r="AK258" i="1" s="1"/>
  <c r="AL258" i="1" s="1"/>
  <c r="AM258" i="1" s="1"/>
  <c r="AA259" i="1"/>
  <c r="AB259" i="1" s="1"/>
  <c r="AC259" i="1" s="1"/>
  <c r="AD259" i="1" s="1"/>
  <c r="AE259" i="1" s="1"/>
  <c r="AF259" i="1" s="1"/>
  <c r="AG259" i="1" s="1"/>
  <c r="AH259" i="1" s="1"/>
  <c r="AI259" i="1" s="1"/>
  <c r="AJ259" i="1" s="1"/>
  <c r="AK259" i="1" s="1"/>
  <c r="AL259" i="1" s="1"/>
  <c r="AM259" i="1" s="1"/>
  <c r="AA260" i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A261" i="1"/>
  <c r="AB261" i="1" s="1"/>
  <c r="W251" i="1"/>
  <c r="W252" i="1"/>
  <c r="Z252" i="1" s="1"/>
  <c r="W253" i="1"/>
  <c r="Y253" i="1" s="1"/>
  <c r="W254" i="1"/>
  <c r="W256" i="1"/>
  <c r="X256" i="1" s="1"/>
  <c r="W257" i="1"/>
  <c r="X257" i="1" s="1"/>
  <c r="W258" i="1"/>
  <c r="W259" i="1"/>
  <c r="W260" i="1"/>
  <c r="X260" i="1" s="1"/>
  <c r="W261" i="1"/>
  <c r="Z261" i="1" s="1"/>
  <c r="T251" i="1"/>
  <c r="T252" i="1"/>
  <c r="T253" i="1"/>
  <c r="U253" i="1" s="1"/>
  <c r="T254" i="1"/>
  <c r="V254" i="1" s="1"/>
  <c r="T255" i="1"/>
  <c r="T256" i="1"/>
  <c r="T257" i="1"/>
  <c r="V257" i="1" s="1"/>
  <c r="T258" i="1"/>
  <c r="U258" i="1" s="1"/>
  <c r="T259" i="1"/>
  <c r="U259" i="1" s="1"/>
  <c r="T260" i="1"/>
  <c r="T261" i="1"/>
  <c r="U261" i="1" s="1"/>
  <c r="Q251" i="1"/>
  <c r="Q295" i="1" s="1"/>
  <c r="Q252" i="1"/>
  <c r="R252" i="1" s="1"/>
  <c r="Q253" i="1"/>
  <c r="Q254" i="1"/>
  <c r="R254" i="1" s="1"/>
  <c r="Q256" i="1"/>
  <c r="Q257" i="1"/>
  <c r="S257" i="1" s="1"/>
  <c r="Q258" i="1"/>
  <c r="R258" i="1" s="1"/>
  <c r="Q259" i="1"/>
  <c r="R259" i="1" s="1"/>
  <c r="Q260" i="1"/>
  <c r="S260" i="1" s="1"/>
  <c r="Q261" i="1"/>
  <c r="O251" i="1"/>
  <c r="O295" i="1" s="1"/>
  <c r="O256" i="1"/>
  <c r="P256" i="1" s="1"/>
  <c r="O257" i="1"/>
  <c r="P257" i="1" s="1"/>
  <c r="O258" i="1"/>
  <c r="P258" i="1" s="1"/>
  <c r="AA250" i="1"/>
  <c r="AB250" i="1" s="1"/>
  <c r="AC250" i="1" s="1"/>
  <c r="AD250" i="1" s="1"/>
  <c r="AE250" i="1" s="1"/>
  <c r="AF250" i="1" s="1"/>
  <c r="AG250" i="1" s="1"/>
  <c r="AH250" i="1" s="1"/>
  <c r="AI250" i="1" s="1"/>
  <c r="AJ250" i="1" s="1"/>
  <c r="AK250" i="1" s="1"/>
  <c r="AL250" i="1" s="1"/>
  <c r="AM250" i="1" s="1"/>
  <c r="W250" i="1"/>
  <c r="T250" i="1"/>
  <c r="V250" i="1" s="1"/>
  <c r="Q250" i="1"/>
  <c r="S250" i="1" s="1"/>
  <c r="AA192" i="1"/>
  <c r="AB192" i="1" s="1"/>
  <c r="W192" i="1"/>
  <c r="T192" i="1"/>
  <c r="V192" i="1" s="1"/>
  <c r="V232" i="1" s="1"/>
  <c r="Q192" i="1"/>
  <c r="S192" i="1" s="1"/>
  <c r="S232" i="1" s="1"/>
  <c r="O192" i="1"/>
  <c r="O97" i="1"/>
  <c r="P97" i="1" s="1"/>
  <c r="O195" i="1"/>
  <c r="P195" i="1" s="1"/>
  <c r="O198" i="1"/>
  <c r="P198" i="1" s="1"/>
  <c r="Q194" i="1"/>
  <c r="S194" i="1" s="1"/>
  <c r="Q195" i="1"/>
  <c r="R195" i="1" s="1"/>
  <c r="Q196" i="1"/>
  <c r="Q198" i="1"/>
  <c r="S198" i="1" s="1"/>
  <c r="Q199" i="1"/>
  <c r="S199" i="1" s="1"/>
  <c r="Q200" i="1"/>
  <c r="S200" i="1" s="1"/>
  <c r="Q201" i="1"/>
  <c r="R201" i="1" s="1"/>
  <c r="Q97" i="1"/>
  <c r="S97" i="1" s="1"/>
  <c r="AA194" i="1"/>
  <c r="AB194" i="1" s="1"/>
  <c r="AA195" i="1"/>
  <c r="AA196" i="1"/>
  <c r="AB196" i="1" s="1"/>
  <c r="AC196" i="1" s="1"/>
  <c r="AD196" i="1" s="1"/>
  <c r="AE196" i="1" s="1"/>
  <c r="AF196" i="1" s="1"/>
  <c r="AG196" i="1" s="1"/>
  <c r="AH196" i="1" s="1"/>
  <c r="AI196" i="1" s="1"/>
  <c r="AJ196" i="1" s="1"/>
  <c r="AK196" i="1" s="1"/>
  <c r="AL196" i="1" s="1"/>
  <c r="AM196" i="1" s="1"/>
  <c r="AA198" i="1"/>
  <c r="AB198" i="1" s="1"/>
  <c r="AC198" i="1" s="1"/>
  <c r="AD198" i="1" s="1"/>
  <c r="AE198" i="1" s="1"/>
  <c r="AF198" i="1" s="1"/>
  <c r="AG198" i="1" s="1"/>
  <c r="AH198" i="1" s="1"/>
  <c r="AI198" i="1" s="1"/>
  <c r="AJ198" i="1" s="1"/>
  <c r="AK198" i="1" s="1"/>
  <c r="AL198" i="1" s="1"/>
  <c r="AM198" i="1" s="1"/>
  <c r="AA199" i="1"/>
  <c r="AB199" i="1" s="1"/>
  <c r="AC199" i="1" s="1"/>
  <c r="AD199" i="1" s="1"/>
  <c r="AE199" i="1" s="1"/>
  <c r="AF199" i="1" s="1"/>
  <c r="AG199" i="1" s="1"/>
  <c r="AH199" i="1" s="1"/>
  <c r="AI199" i="1" s="1"/>
  <c r="AJ199" i="1" s="1"/>
  <c r="AK199" i="1" s="1"/>
  <c r="AL199" i="1" s="1"/>
  <c r="AM199" i="1" s="1"/>
  <c r="AA200" i="1"/>
  <c r="AA201" i="1"/>
  <c r="AB201" i="1" s="1"/>
  <c r="AC201" i="1" s="1"/>
  <c r="AD201" i="1" s="1"/>
  <c r="AE201" i="1" s="1"/>
  <c r="AF201" i="1" s="1"/>
  <c r="AG201" i="1" s="1"/>
  <c r="AH201" i="1" s="1"/>
  <c r="AI201" i="1" s="1"/>
  <c r="AJ201" i="1" s="1"/>
  <c r="AK201" i="1" s="1"/>
  <c r="AL201" i="1" s="1"/>
  <c r="AM201" i="1" s="1"/>
  <c r="AA97" i="1"/>
  <c r="AB97" i="1" s="1"/>
  <c r="AC97" i="1" s="1"/>
  <c r="AD97" i="1" s="1"/>
  <c r="AE97" i="1" s="1"/>
  <c r="AF97" i="1" s="1"/>
  <c r="AG97" i="1" s="1"/>
  <c r="AH97" i="1" s="1"/>
  <c r="AI97" i="1" s="1"/>
  <c r="AJ97" i="1" s="1"/>
  <c r="AK97" i="1" s="1"/>
  <c r="AL97" i="1" s="1"/>
  <c r="AM97" i="1" s="1"/>
  <c r="W194" i="1"/>
  <c r="Y194" i="1" s="1"/>
  <c r="W195" i="1"/>
  <c r="Y195" i="1" s="1"/>
  <c r="W196" i="1"/>
  <c r="X196" i="1" s="1"/>
  <c r="W198" i="1"/>
  <c r="Y198" i="1" s="1"/>
  <c r="W199" i="1"/>
  <c r="W200" i="1"/>
  <c r="X200" i="1" s="1"/>
  <c r="W201" i="1"/>
  <c r="Y201" i="1" s="1"/>
  <c r="W97" i="1"/>
  <c r="T194" i="1"/>
  <c r="U194" i="1" s="1"/>
  <c r="T195" i="1"/>
  <c r="V195" i="1" s="1"/>
  <c r="T196" i="1"/>
  <c r="U196" i="1" s="1"/>
  <c r="T198" i="1"/>
  <c r="U198" i="1" s="1"/>
  <c r="T199" i="1"/>
  <c r="U199" i="1" s="1"/>
  <c r="T200" i="1"/>
  <c r="U200" i="1" s="1"/>
  <c r="T201" i="1"/>
  <c r="T97" i="1"/>
  <c r="U97" i="1" s="1"/>
  <c r="AB106" i="1"/>
  <c r="Y106" i="1"/>
  <c r="W120" i="1"/>
  <c r="Y120" i="1" s="1"/>
  <c r="T106" i="1"/>
  <c r="V106" i="1" s="1"/>
  <c r="AA120" i="1"/>
  <c r="AB120" i="1" s="1"/>
  <c r="AC120" i="1" s="1"/>
  <c r="AD120" i="1" s="1"/>
  <c r="AE120" i="1" s="1"/>
  <c r="AF120" i="1" s="1"/>
  <c r="AG120" i="1" s="1"/>
  <c r="AH120" i="1" s="1"/>
  <c r="AI120" i="1" s="1"/>
  <c r="AJ120" i="1" s="1"/>
  <c r="AK120" i="1" s="1"/>
  <c r="AL120" i="1" s="1"/>
  <c r="AM120" i="1" s="1"/>
  <c r="Q106" i="1"/>
  <c r="S106" i="1" s="1"/>
  <c r="Q84" i="1"/>
  <c r="R84" i="1" s="1"/>
  <c r="R96" i="1"/>
  <c r="S96" i="1"/>
  <c r="T84" i="1"/>
  <c r="W96" i="1"/>
  <c r="W84" i="1"/>
  <c r="Z84" i="1" s="1"/>
  <c r="AA96" i="1"/>
  <c r="AA84" i="1"/>
  <c r="AB84" i="1" s="1"/>
  <c r="AC84" i="1" s="1"/>
  <c r="AD84" i="1" s="1"/>
  <c r="P31" i="2"/>
  <c r="B49" i="2"/>
  <c r="B45" i="2"/>
  <c r="B43" i="2"/>
  <c r="B37" i="2"/>
  <c r="B35" i="2"/>
  <c r="B33" i="2"/>
  <c r="B31" i="2"/>
  <c r="B29" i="2"/>
  <c r="B27" i="2"/>
  <c r="B21" i="2"/>
  <c r="B19" i="2"/>
  <c r="B17" i="2"/>
  <c r="B13" i="2"/>
  <c r="B11" i="2"/>
  <c r="B9" i="2"/>
  <c r="P29" i="2"/>
  <c r="P27" i="2"/>
  <c r="P23" i="2"/>
  <c r="P25" i="2"/>
  <c r="P19" i="2"/>
  <c r="P17" i="2"/>
  <c r="P15" i="2"/>
  <c r="P13" i="2"/>
  <c r="P9" i="2"/>
  <c r="P11" i="2"/>
  <c r="I29" i="2"/>
  <c r="I27" i="2"/>
  <c r="I25" i="2"/>
  <c r="I23" i="2"/>
  <c r="I21" i="2"/>
  <c r="I17" i="2"/>
  <c r="I15" i="2"/>
  <c r="I11" i="2"/>
  <c r="I9" i="2"/>
  <c r="Q87" i="1"/>
  <c r="R87" i="1" s="1"/>
  <c r="T87" i="1"/>
  <c r="U87" i="1" s="1"/>
  <c r="W87" i="1"/>
  <c r="AA87" i="1"/>
  <c r="AB87" i="1" s="1"/>
  <c r="AC87" i="1" s="1"/>
  <c r="AD87" i="1" s="1"/>
  <c r="AE87" i="1" s="1"/>
  <c r="AF87" i="1" s="1"/>
  <c r="AG87" i="1" s="1"/>
  <c r="AH87" i="1" s="1"/>
  <c r="AI87" i="1" s="1"/>
  <c r="AJ87" i="1" s="1"/>
  <c r="AK87" i="1" s="1"/>
  <c r="AL87" i="1" s="1"/>
  <c r="AM87" i="1" s="1"/>
  <c r="L9" i="2"/>
  <c r="E49" i="2"/>
  <c r="E45" i="2"/>
  <c r="E43" i="2"/>
  <c r="E41" i="2"/>
  <c r="E37" i="2"/>
  <c r="E35" i="2"/>
  <c r="E33" i="2"/>
  <c r="E31" i="2"/>
  <c r="E29" i="2"/>
  <c r="E27" i="2"/>
  <c r="E25" i="2"/>
  <c r="E23" i="2"/>
  <c r="E21" i="2"/>
  <c r="E19" i="2"/>
  <c r="E17" i="2"/>
  <c r="E15" i="2"/>
  <c r="E13" i="2"/>
  <c r="E11" i="2"/>
  <c r="E9" i="2"/>
  <c r="AB195" i="1"/>
  <c r="AC195" i="1" s="1"/>
  <c r="AD195" i="1" s="1"/>
  <c r="AE195" i="1" s="1"/>
  <c r="AF195" i="1" s="1"/>
  <c r="AG195" i="1" s="1"/>
  <c r="AH195" i="1" s="1"/>
  <c r="AI195" i="1" s="1"/>
  <c r="AJ195" i="1" s="1"/>
  <c r="AK195" i="1" s="1"/>
  <c r="AL195" i="1" s="1"/>
  <c r="AM195" i="1" s="1"/>
  <c r="AA128" i="1"/>
  <c r="AB128" i="1" s="1"/>
  <c r="AC128" i="1" s="1"/>
  <c r="AD128" i="1" s="1"/>
  <c r="AE128" i="1" s="1"/>
  <c r="AF128" i="1" s="1"/>
  <c r="AG128" i="1" s="1"/>
  <c r="AH128" i="1" s="1"/>
  <c r="AI128" i="1" s="1"/>
  <c r="AJ128" i="1" s="1"/>
  <c r="AK128" i="1" s="1"/>
  <c r="AL128" i="1" s="1"/>
  <c r="AM128" i="1" s="1"/>
  <c r="W128" i="1"/>
  <c r="Z128" i="1" s="1"/>
  <c r="T128" i="1"/>
  <c r="Q128" i="1"/>
  <c r="R128" i="1" s="1"/>
  <c r="O128" i="1"/>
  <c r="P128" i="1" s="1"/>
  <c r="AA112" i="1"/>
  <c r="AB112" i="1" s="1"/>
  <c r="AC112" i="1" s="1"/>
  <c r="AD112" i="1" s="1"/>
  <c r="AE112" i="1" s="1"/>
  <c r="AF112" i="1" s="1"/>
  <c r="AG112" i="1" s="1"/>
  <c r="AH112" i="1" s="1"/>
  <c r="AI112" i="1" s="1"/>
  <c r="AJ112" i="1" s="1"/>
  <c r="AK112" i="1" s="1"/>
  <c r="AL112" i="1" s="1"/>
  <c r="AM112" i="1" s="1"/>
  <c r="W112" i="1"/>
  <c r="T112" i="1"/>
  <c r="V112" i="1" s="1"/>
  <c r="Q112" i="1"/>
  <c r="O112" i="1"/>
  <c r="P112" i="1" s="1"/>
  <c r="AA126" i="1"/>
  <c r="AB126" i="1" s="1"/>
  <c r="AC126" i="1" s="1"/>
  <c r="AD126" i="1" s="1"/>
  <c r="AE126" i="1" s="1"/>
  <c r="AF126" i="1" s="1"/>
  <c r="AG126" i="1" s="1"/>
  <c r="AH126" i="1" s="1"/>
  <c r="AI126" i="1" s="1"/>
  <c r="AJ126" i="1" s="1"/>
  <c r="AK126" i="1" s="1"/>
  <c r="AL126" i="1" s="1"/>
  <c r="AM126" i="1" s="1"/>
  <c r="W126" i="1"/>
  <c r="Y126" i="1" s="1"/>
  <c r="T126" i="1"/>
  <c r="V126" i="1" s="1"/>
  <c r="Q126" i="1"/>
  <c r="R126" i="1" s="1"/>
  <c r="O126" i="1"/>
  <c r="P126" i="1" s="1"/>
  <c r="AA61" i="1"/>
  <c r="AB61" i="1" s="1"/>
  <c r="AC61" i="1" s="1"/>
  <c r="AD61" i="1" s="1"/>
  <c r="AE61" i="1" s="1"/>
  <c r="AF61" i="1" s="1"/>
  <c r="AG61" i="1" s="1"/>
  <c r="AH61" i="1" s="1"/>
  <c r="AI61" i="1" s="1"/>
  <c r="AJ61" i="1" s="1"/>
  <c r="AK61" i="1" s="1"/>
  <c r="AL61" i="1" s="1"/>
  <c r="AM61" i="1" s="1"/>
  <c r="W61" i="1"/>
  <c r="Z61" i="1" s="1"/>
  <c r="T61" i="1"/>
  <c r="U61" i="1" s="1"/>
  <c r="Q61" i="1"/>
  <c r="O61" i="1"/>
  <c r="P61" i="1" s="1"/>
  <c r="AA49" i="1"/>
  <c r="AB49" i="1" s="1"/>
  <c r="AC49" i="1" s="1"/>
  <c r="AD49" i="1" s="1"/>
  <c r="AE49" i="1" s="1"/>
  <c r="AF49" i="1" s="1"/>
  <c r="AG49" i="1" s="1"/>
  <c r="AH49" i="1" s="1"/>
  <c r="AI49" i="1" s="1"/>
  <c r="AJ49" i="1" s="1"/>
  <c r="AK49" i="1" s="1"/>
  <c r="AL49" i="1" s="1"/>
  <c r="AM49" i="1" s="1"/>
  <c r="Z49" i="1"/>
  <c r="V49" i="1"/>
  <c r="Q49" i="1"/>
  <c r="R49" i="1" s="1"/>
  <c r="O49" i="1"/>
  <c r="P49" i="1" s="1"/>
  <c r="AA48" i="1"/>
  <c r="AB48" i="1" s="1"/>
  <c r="AC48" i="1" s="1"/>
  <c r="AD48" i="1" s="1"/>
  <c r="AE48" i="1" s="1"/>
  <c r="AF48" i="1" s="1"/>
  <c r="AG48" i="1" s="1"/>
  <c r="AH48" i="1" s="1"/>
  <c r="AI48" i="1" s="1"/>
  <c r="AJ48" i="1" s="1"/>
  <c r="AK48" i="1" s="1"/>
  <c r="AL48" i="1" s="1"/>
  <c r="AM48" i="1" s="1"/>
  <c r="W48" i="1"/>
  <c r="Z48" i="1" s="1"/>
  <c r="T48" i="1"/>
  <c r="Q48" i="1"/>
  <c r="O48" i="1"/>
  <c r="P48" i="1" s="1"/>
  <c r="AA47" i="1"/>
  <c r="AB47" i="1" s="1"/>
  <c r="AC47" i="1" s="1"/>
  <c r="AD47" i="1" s="1"/>
  <c r="AE47" i="1" s="1"/>
  <c r="AF47" i="1" s="1"/>
  <c r="AG47" i="1" s="1"/>
  <c r="AH47" i="1" s="1"/>
  <c r="AI47" i="1" s="1"/>
  <c r="AJ47" i="1" s="1"/>
  <c r="AK47" i="1" s="1"/>
  <c r="AL47" i="1" s="1"/>
  <c r="AM47" i="1" s="1"/>
  <c r="W47" i="1"/>
  <c r="T47" i="1"/>
  <c r="V47" i="1" s="1"/>
  <c r="Q47" i="1"/>
  <c r="R47" i="1" s="1"/>
  <c r="O47" i="1"/>
  <c r="P47" i="1" s="1"/>
  <c r="AA7" i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W7" i="1"/>
  <c r="Z7" i="1" s="1"/>
  <c r="T7" i="1"/>
  <c r="U7" i="1" s="1"/>
  <c r="Q7" i="1"/>
  <c r="R7" i="1" s="1"/>
  <c r="AA20" i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W20" i="1"/>
  <c r="Z20" i="1" s="1"/>
  <c r="T20" i="1"/>
  <c r="V20" i="1" s="1"/>
  <c r="Q20" i="1"/>
  <c r="O20" i="1"/>
  <c r="P20" i="1" s="1"/>
  <c r="AA19" i="1"/>
  <c r="AB19" i="1" s="1"/>
  <c r="AC19" i="1" s="1"/>
  <c r="AD19" i="1" s="1"/>
  <c r="AE19" i="1" s="1"/>
  <c r="AF19" i="1" s="1"/>
  <c r="AG19" i="1" s="1"/>
  <c r="AH19" i="1" s="1"/>
  <c r="AI19" i="1" s="1"/>
  <c r="AJ19" i="1" s="1"/>
  <c r="AK19" i="1" s="1"/>
  <c r="AL19" i="1" s="1"/>
  <c r="AM19" i="1" s="1"/>
  <c r="W19" i="1"/>
  <c r="Y19" i="1" s="1"/>
  <c r="T19" i="1"/>
  <c r="V19" i="1" s="1"/>
  <c r="Q19" i="1"/>
  <c r="O19" i="1"/>
  <c r="P19" i="1" s="1"/>
  <c r="AA18" i="1"/>
  <c r="AB18" i="1" s="1"/>
  <c r="AC18" i="1" s="1"/>
  <c r="AD18" i="1" s="1"/>
  <c r="AE18" i="1" s="1"/>
  <c r="AF18" i="1" s="1"/>
  <c r="AG18" i="1" s="1"/>
  <c r="AH18" i="1" s="1"/>
  <c r="AI18" i="1" s="1"/>
  <c r="AJ18" i="1" s="1"/>
  <c r="AK18" i="1" s="1"/>
  <c r="AL18" i="1" s="1"/>
  <c r="AM18" i="1" s="1"/>
  <c r="W18" i="1"/>
  <c r="T18" i="1"/>
  <c r="U18" i="1" s="1"/>
  <c r="Q18" i="1"/>
  <c r="S18" i="1" s="1"/>
  <c r="O18" i="1"/>
  <c r="P18" i="1" s="1"/>
  <c r="AA17" i="1"/>
  <c r="AB17" i="1" s="1"/>
  <c r="AC17" i="1" s="1"/>
  <c r="AD17" i="1" s="1"/>
  <c r="AE17" i="1" s="1"/>
  <c r="AF17" i="1" s="1"/>
  <c r="AG17" i="1" s="1"/>
  <c r="AH17" i="1" s="1"/>
  <c r="AI17" i="1" s="1"/>
  <c r="AJ17" i="1" s="1"/>
  <c r="AK17" i="1" s="1"/>
  <c r="AL17" i="1" s="1"/>
  <c r="AM17" i="1" s="1"/>
  <c r="W17" i="1"/>
  <c r="Z17" i="1" s="1"/>
  <c r="T17" i="1"/>
  <c r="Q17" i="1"/>
  <c r="S17" i="1" s="1"/>
  <c r="O17" i="1"/>
  <c r="P17" i="1" s="1"/>
  <c r="AA16" i="1"/>
  <c r="AB16" i="1" s="1"/>
  <c r="AC16" i="1" s="1"/>
  <c r="AD16" i="1" s="1"/>
  <c r="AE16" i="1" s="1"/>
  <c r="AF16" i="1" s="1"/>
  <c r="AG16" i="1" s="1"/>
  <c r="AH16" i="1" s="1"/>
  <c r="AI16" i="1" s="1"/>
  <c r="AJ16" i="1" s="1"/>
  <c r="AK16" i="1" s="1"/>
  <c r="AL16" i="1" s="1"/>
  <c r="AM16" i="1" s="1"/>
  <c r="W16" i="1"/>
  <c r="Z16" i="1" s="1"/>
  <c r="T16" i="1"/>
  <c r="V16" i="1" s="1"/>
  <c r="Q16" i="1"/>
  <c r="R16" i="1" s="1"/>
  <c r="O16" i="1"/>
  <c r="P16" i="1" s="1"/>
  <c r="AA15" i="1"/>
  <c r="AB15" i="1" s="1"/>
  <c r="AC15" i="1" s="1"/>
  <c r="AD15" i="1" s="1"/>
  <c r="AE15" i="1" s="1"/>
  <c r="AF15" i="1" s="1"/>
  <c r="AG15" i="1" s="1"/>
  <c r="AH15" i="1" s="1"/>
  <c r="AI15" i="1" s="1"/>
  <c r="AJ15" i="1" s="1"/>
  <c r="AK15" i="1" s="1"/>
  <c r="AL15" i="1" s="1"/>
  <c r="AM15" i="1" s="1"/>
  <c r="W15" i="1"/>
  <c r="X15" i="1" s="1"/>
  <c r="T15" i="1"/>
  <c r="V15" i="1" s="1"/>
  <c r="Q15" i="1"/>
  <c r="S15" i="1" s="1"/>
  <c r="O15" i="1"/>
  <c r="P15" i="1" s="1"/>
  <c r="AA14" i="1"/>
  <c r="AB14" i="1" s="1"/>
  <c r="AC14" i="1" s="1"/>
  <c r="AD14" i="1" s="1"/>
  <c r="AE14" i="1" s="1"/>
  <c r="AF14" i="1" s="1"/>
  <c r="AG14" i="1" s="1"/>
  <c r="AH14" i="1" s="1"/>
  <c r="AI14" i="1" s="1"/>
  <c r="AJ14" i="1" s="1"/>
  <c r="AK14" i="1" s="1"/>
  <c r="AL14" i="1" s="1"/>
  <c r="AM14" i="1" s="1"/>
  <c r="W14" i="1"/>
  <c r="T14" i="1"/>
  <c r="Q14" i="1"/>
  <c r="S14" i="1" s="1"/>
  <c r="O14" i="1"/>
  <c r="P14" i="1" s="1"/>
  <c r="AA13" i="1"/>
  <c r="AB13" i="1" s="1"/>
  <c r="AC13" i="1" s="1"/>
  <c r="AD13" i="1" s="1"/>
  <c r="AE13" i="1" s="1"/>
  <c r="AF13" i="1" s="1"/>
  <c r="AG13" i="1" s="1"/>
  <c r="AH13" i="1" s="1"/>
  <c r="AI13" i="1" s="1"/>
  <c r="AJ13" i="1" s="1"/>
  <c r="AK13" i="1" s="1"/>
  <c r="AL13" i="1" s="1"/>
  <c r="AM13" i="1" s="1"/>
  <c r="W13" i="1"/>
  <c r="Z13" i="1" s="1"/>
  <c r="T13" i="1"/>
  <c r="V13" i="1" s="1"/>
  <c r="Q13" i="1"/>
  <c r="S13" i="1" s="1"/>
  <c r="O13" i="1"/>
  <c r="P13" i="1" s="1"/>
  <c r="AA12" i="1"/>
  <c r="AB12" i="1" s="1"/>
  <c r="AC12" i="1" s="1"/>
  <c r="AD12" i="1" s="1"/>
  <c r="AE12" i="1" s="1"/>
  <c r="AF12" i="1" s="1"/>
  <c r="AG12" i="1" s="1"/>
  <c r="AH12" i="1" s="1"/>
  <c r="AI12" i="1" s="1"/>
  <c r="AJ12" i="1" s="1"/>
  <c r="AK12" i="1" s="1"/>
  <c r="AL12" i="1" s="1"/>
  <c r="AM12" i="1" s="1"/>
  <c r="W12" i="1"/>
  <c r="Z12" i="1" s="1"/>
  <c r="T12" i="1"/>
  <c r="V12" i="1" s="1"/>
  <c r="Q12" i="1"/>
  <c r="S12" i="1" s="1"/>
  <c r="O12" i="1"/>
  <c r="P12" i="1" s="1"/>
  <c r="AA11" i="1"/>
  <c r="AB11" i="1" s="1"/>
  <c r="AC11" i="1" s="1"/>
  <c r="AD11" i="1" s="1"/>
  <c r="AE11" i="1" s="1"/>
  <c r="AF11" i="1" s="1"/>
  <c r="AG11" i="1" s="1"/>
  <c r="AH11" i="1" s="1"/>
  <c r="AI11" i="1" s="1"/>
  <c r="AJ11" i="1" s="1"/>
  <c r="AK11" i="1" s="1"/>
  <c r="AL11" i="1" s="1"/>
  <c r="AM11" i="1" s="1"/>
  <c r="W11" i="1"/>
  <c r="X11" i="1" s="1"/>
  <c r="T11" i="1"/>
  <c r="V11" i="1" s="1"/>
  <c r="Q11" i="1"/>
  <c r="S11" i="1" s="1"/>
  <c r="P11" i="1"/>
  <c r="P77" i="1"/>
  <c r="AA65" i="1"/>
  <c r="AB65" i="1" s="1"/>
  <c r="AC65" i="1" s="1"/>
  <c r="AD65" i="1" s="1"/>
  <c r="AE65" i="1" s="1"/>
  <c r="AF65" i="1" s="1"/>
  <c r="AG65" i="1" s="1"/>
  <c r="AH65" i="1" s="1"/>
  <c r="AI65" i="1" s="1"/>
  <c r="AJ65" i="1" s="1"/>
  <c r="AK65" i="1" s="1"/>
  <c r="AL65" i="1" s="1"/>
  <c r="AM65" i="1" s="1"/>
  <c r="W65" i="1"/>
  <c r="Z65" i="1" s="1"/>
  <c r="T65" i="1"/>
  <c r="V65" i="1" s="1"/>
  <c r="Q65" i="1"/>
  <c r="S65" i="1" s="1"/>
  <c r="AA53" i="1"/>
  <c r="AB53" i="1" s="1"/>
  <c r="AC53" i="1" s="1"/>
  <c r="AD53" i="1" s="1"/>
  <c r="AE53" i="1" s="1"/>
  <c r="AF53" i="1" s="1"/>
  <c r="AG53" i="1" s="1"/>
  <c r="AH53" i="1" s="1"/>
  <c r="AI53" i="1" s="1"/>
  <c r="AJ53" i="1" s="1"/>
  <c r="AK53" i="1" s="1"/>
  <c r="AL53" i="1" s="1"/>
  <c r="AM53" i="1" s="1"/>
  <c r="W53" i="1"/>
  <c r="Z53" i="1" s="1"/>
  <c r="T53" i="1"/>
  <c r="V53" i="1" s="1"/>
  <c r="Q53" i="1"/>
  <c r="R53" i="1" s="1"/>
  <c r="O53" i="1"/>
  <c r="P53" i="1" s="1"/>
  <c r="AB118" i="1"/>
  <c r="AC118" i="1" s="1"/>
  <c r="AD118" i="1" s="1"/>
  <c r="AE118" i="1" s="1"/>
  <c r="AF118" i="1" s="1"/>
  <c r="AG118" i="1" s="1"/>
  <c r="AH118" i="1" s="1"/>
  <c r="AI118" i="1" s="1"/>
  <c r="AJ118" i="1" s="1"/>
  <c r="AK118" i="1" s="1"/>
  <c r="AL118" i="1" s="1"/>
  <c r="AM118" i="1" s="1"/>
  <c r="AB117" i="1"/>
  <c r="AC117" i="1" s="1"/>
  <c r="AD117" i="1" s="1"/>
  <c r="AE117" i="1" s="1"/>
  <c r="AF117" i="1" s="1"/>
  <c r="AG117" i="1" s="1"/>
  <c r="AH117" i="1" s="1"/>
  <c r="AI117" i="1" s="1"/>
  <c r="AJ117" i="1" s="1"/>
  <c r="AK117" i="1" s="1"/>
  <c r="AL117" i="1" s="1"/>
  <c r="AM117" i="1" s="1"/>
  <c r="AB116" i="1"/>
  <c r="AC116" i="1" s="1"/>
  <c r="AD116" i="1" s="1"/>
  <c r="AE116" i="1" s="1"/>
  <c r="AF116" i="1" s="1"/>
  <c r="AG116" i="1" s="1"/>
  <c r="AH116" i="1" s="1"/>
  <c r="AI116" i="1" s="1"/>
  <c r="AJ116" i="1" s="1"/>
  <c r="AK116" i="1" s="1"/>
  <c r="AL116" i="1" s="1"/>
  <c r="AM116" i="1" s="1"/>
  <c r="AB60" i="1"/>
  <c r="AC60" i="1" s="1"/>
  <c r="AD60" i="1" s="1"/>
  <c r="AE60" i="1" s="1"/>
  <c r="AF60" i="1" s="1"/>
  <c r="AG60" i="1" s="1"/>
  <c r="AH60" i="1" s="1"/>
  <c r="AI60" i="1" s="1"/>
  <c r="AJ60" i="1" s="1"/>
  <c r="AK60" i="1" s="1"/>
  <c r="AL60" i="1" s="1"/>
  <c r="AM60" i="1" s="1"/>
  <c r="Z118" i="1"/>
  <c r="Y118" i="1"/>
  <c r="X118" i="1"/>
  <c r="Z117" i="1"/>
  <c r="Y117" i="1"/>
  <c r="X117" i="1"/>
  <c r="Z116" i="1"/>
  <c r="Y116" i="1"/>
  <c r="X116" i="1"/>
  <c r="Z60" i="1"/>
  <c r="Y60" i="1"/>
  <c r="X60" i="1"/>
  <c r="V118" i="1"/>
  <c r="U118" i="1"/>
  <c r="V117" i="1"/>
  <c r="U117" i="1"/>
  <c r="V116" i="1"/>
  <c r="U116" i="1"/>
  <c r="V60" i="1"/>
  <c r="U60" i="1"/>
  <c r="S118" i="1"/>
  <c r="R118" i="1"/>
  <c r="S117" i="1"/>
  <c r="R117" i="1"/>
  <c r="S116" i="1"/>
  <c r="R116" i="1"/>
  <c r="S60" i="1"/>
  <c r="R60" i="1"/>
  <c r="P118" i="1"/>
  <c r="P117" i="1"/>
  <c r="P116" i="1"/>
  <c r="P104" i="1"/>
  <c r="P102" i="1"/>
  <c r="P67" i="1"/>
  <c r="P60" i="1"/>
  <c r="P50" i="1"/>
  <c r="AA63" i="1"/>
  <c r="AB63" i="1" s="1"/>
  <c r="AC63" i="1" s="1"/>
  <c r="AD63" i="1" s="1"/>
  <c r="AE63" i="1" s="1"/>
  <c r="AF63" i="1" s="1"/>
  <c r="AG63" i="1" s="1"/>
  <c r="AH63" i="1" s="1"/>
  <c r="AI63" i="1" s="1"/>
  <c r="AJ63" i="1" s="1"/>
  <c r="AK63" i="1" s="1"/>
  <c r="AL63" i="1" s="1"/>
  <c r="AM63" i="1" s="1"/>
  <c r="AA64" i="1"/>
  <c r="AB64" i="1" s="1"/>
  <c r="AC64" i="1" s="1"/>
  <c r="AD64" i="1" s="1"/>
  <c r="AE64" i="1" s="1"/>
  <c r="AF64" i="1" s="1"/>
  <c r="AG64" i="1" s="1"/>
  <c r="AH64" i="1" s="1"/>
  <c r="AI64" i="1" s="1"/>
  <c r="AJ64" i="1" s="1"/>
  <c r="AK64" i="1" s="1"/>
  <c r="AL64" i="1" s="1"/>
  <c r="AM64" i="1" s="1"/>
  <c r="AA62" i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W63" i="1"/>
  <c r="X63" i="1" s="1"/>
  <c r="W64" i="1"/>
  <c r="W62" i="1"/>
  <c r="T63" i="1"/>
  <c r="V63" i="1" s="1"/>
  <c r="T64" i="1"/>
  <c r="V64" i="1" s="1"/>
  <c r="T62" i="1"/>
  <c r="V62" i="1" s="1"/>
  <c r="Q63" i="1"/>
  <c r="R63" i="1" s="1"/>
  <c r="Q64" i="1"/>
  <c r="S64" i="1" s="1"/>
  <c r="Q62" i="1"/>
  <c r="S62" i="1" s="1"/>
  <c r="O63" i="1"/>
  <c r="P63" i="1" s="1"/>
  <c r="O64" i="1"/>
  <c r="P64" i="1" s="1"/>
  <c r="O62" i="1"/>
  <c r="P62" i="1" s="1"/>
  <c r="AA5" i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W5" i="1"/>
  <c r="Z5" i="1" s="1"/>
  <c r="T5" i="1"/>
  <c r="AA124" i="1"/>
  <c r="AB124" i="1" s="1"/>
  <c r="AC124" i="1" s="1"/>
  <c r="AD124" i="1" s="1"/>
  <c r="AE124" i="1" s="1"/>
  <c r="AF124" i="1" s="1"/>
  <c r="AG124" i="1" s="1"/>
  <c r="AH124" i="1" s="1"/>
  <c r="AI124" i="1" s="1"/>
  <c r="AJ124" i="1" s="1"/>
  <c r="AK124" i="1" s="1"/>
  <c r="AL124" i="1" s="1"/>
  <c r="AM124" i="1" s="1"/>
  <c r="AA122" i="1"/>
  <c r="AB122" i="1" s="1"/>
  <c r="AC122" i="1" s="1"/>
  <c r="AD122" i="1" s="1"/>
  <c r="AE122" i="1" s="1"/>
  <c r="AF122" i="1" s="1"/>
  <c r="AG122" i="1" s="1"/>
  <c r="AH122" i="1" s="1"/>
  <c r="AI122" i="1" s="1"/>
  <c r="AJ122" i="1" s="1"/>
  <c r="AK122" i="1" s="1"/>
  <c r="AL122" i="1" s="1"/>
  <c r="AM122" i="1" s="1"/>
  <c r="AA119" i="1"/>
  <c r="AB119" i="1" s="1"/>
  <c r="AC119" i="1" s="1"/>
  <c r="AD119" i="1" s="1"/>
  <c r="AE119" i="1" s="1"/>
  <c r="AF119" i="1" s="1"/>
  <c r="AG119" i="1" s="1"/>
  <c r="AH119" i="1" s="1"/>
  <c r="AI119" i="1" s="1"/>
  <c r="AJ119" i="1" s="1"/>
  <c r="AK119" i="1" s="1"/>
  <c r="AL119" i="1" s="1"/>
  <c r="AM119" i="1" s="1"/>
  <c r="AA104" i="1"/>
  <c r="AB104" i="1" s="1"/>
  <c r="AC104" i="1" s="1"/>
  <c r="AD104" i="1" s="1"/>
  <c r="AE104" i="1" s="1"/>
  <c r="AF104" i="1" s="1"/>
  <c r="AG104" i="1" s="1"/>
  <c r="AH104" i="1" s="1"/>
  <c r="AI104" i="1" s="1"/>
  <c r="AJ104" i="1" s="1"/>
  <c r="AK104" i="1" s="1"/>
  <c r="AL104" i="1" s="1"/>
  <c r="AM104" i="1" s="1"/>
  <c r="AA102" i="1"/>
  <c r="AB102" i="1" s="1"/>
  <c r="AC102" i="1" s="1"/>
  <c r="AD102" i="1" s="1"/>
  <c r="AE102" i="1" s="1"/>
  <c r="AF102" i="1" s="1"/>
  <c r="AG102" i="1" s="1"/>
  <c r="AH102" i="1" s="1"/>
  <c r="AI102" i="1" s="1"/>
  <c r="AJ102" i="1" s="1"/>
  <c r="AK102" i="1" s="1"/>
  <c r="AL102" i="1" s="1"/>
  <c r="AM102" i="1" s="1"/>
  <c r="AA75" i="1"/>
  <c r="AB75" i="1" s="1"/>
  <c r="AC75" i="1" s="1"/>
  <c r="AD75" i="1" s="1"/>
  <c r="AE75" i="1" s="1"/>
  <c r="AF75" i="1" s="1"/>
  <c r="AG75" i="1" s="1"/>
  <c r="AH75" i="1" s="1"/>
  <c r="AI75" i="1" s="1"/>
  <c r="AJ75" i="1" s="1"/>
  <c r="AK75" i="1" s="1"/>
  <c r="AL75" i="1" s="1"/>
  <c r="AM75" i="1" s="1"/>
  <c r="AA74" i="1"/>
  <c r="AB74" i="1" s="1"/>
  <c r="AC74" i="1" s="1"/>
  <c r="AD74" i="1" s="1"/>
  <c r="AE74" i="1" s="1"/>
  <c r="AF74" i="1" s="1"/>
  <c r="AG74" i="1" s="1"/>
  <c r="AH74" i="1" s="1"/>
  <c r="AI74" i="1" s="1"/>
  <c r="AJ74" i="1" s="1"/>
  <c r="AK74" i="1" s="1"/>
  <c r="AL74" i="1" s="1"/>
  <c r="AM74" i="1" s="1"/>
  <c r="AA73" i="1"/>
  <c r="AB73" i="1" s="1"/>
  <c r="AC73" i="1" s="1"/>
  <c r="AD73" i="1" s="1"/>
  <c r="AE73" i="1" s="1"/>
  <c r="AF73" i="1" s="1"/>
  <c r="AG73" i="1" s="1"/>
  <c r="AH73" i="1" s="1"/>
  <c r="AI73" i="1" s="1"/>
  <c r="AJ73" i="1" s="1"/>
  <c r="AK73" i="1" s="1"/>
  <c r="AL73" i="1" s="1"/>
  <c r="AM73" i="1" s="1"/>
  <c r="AA67" i="1"/>
  <c r="AB67" i="1" s="1"/>
  <c r="AC67" i="1" s="1"/>
  <c r="AD67" i="1" s="1"/>
  <c r="AE67" i="1" s="1"/>
  <c r="AF67" i="1" s="1"/>
  <c r="AG67" i="1" s="1"/>
  <c r="AH67" i="1" s="1"/>
  <c r="AI67" i="1" s="1"/>
  <c r="AJ67" i="1" s="1"/>
  <c r="AK67" i="1" s="1"/>
  <c r="AL67" i="1" s="1"/>
  <c r="AM67" i="1" s="1"/>
  <c r="AB55" i="1"/>
  <c r="AC55" i="1" s="1"/>
  <c r="AD55" i="1" s="1"/>
  <c r="AE55" i="1" s="1"/>
  <c r="AF55" i="1" s="1"/>
  <c r="AG55" i="1" s="1"/>
  <c r="AH55" i="1" s="1"/>
  <c r="AI55" i="1" s="1"/>
  <c r="AJ55" i="1" s="1"/>
  <c r="AK55" i="1" s="1"/>
  <c r="AL55" i="1" s="1"/>
  <c r="AM55" i="1" s="1"/>
  <c r="AB54" i="1"/>
  <c r="AC54" i="1" s="1"/>
  <c r="AD54" i="1" s="1"/>
  <c r="AE54" i="1" s="1"/>
  <c r="AF54" i="1" s="1"/>
  <c r="AG54" i="1" s="1"/>
  <c r="AH54" i="1" s="1"/>
  <c r="AI54" i="1" s="1"/>
  <c r="AJ54" i="1" s="1"/>
  <c r="AK54" i="1" s="1"/>
  <c r="AL54" i="1" s="1"/>
  <c r="AM54" i="1" s="1"/>
  <c r="AA51" i="1"/>
  <c r="AB51" i="1" s="1"/>
  <c r="AC51" i="1" s="1"/>
  <c r="AD51" i="1" s="1"/>
  <c r="AE51" i="1" s="1"/>
  <c r="AF51" i="1" s="1"/>
  <c r="AG51" i="1" s="1"/>
  <c r="AH51" i="1" s="1"/>
  <c r="AI51" i="1" s="1"/>
  <c r="AJ51" i="1" s="1"/>
  <c r="AK51" i="1" s="1"/>
  <c r="AL51" i="1" s="1"/>
  <c r="AM51" i="1" s="1"/>
  <c r="AA50" i="1"/>
  <c r="AB50" i="1" s="1"/>
  <c r="AC50" i="1" s="1"/>
  <c r="AD50" i="1" s="1"/>
  <c r="AE50" i="1" s="1"/>
  <c r="AF50" i="1" s="1"/>
  <c r="AG50" i="1" s="1"/>
  <c r="AH50" i="1" s="1"/>
  <c r="AI50" i="1" s="1"/>
  <c r="AJ50" i="1" s="1"/>
  <c r="AK50" i="1" s="1"/>
  <c r="AL50" i="1" s="1"/>
  <c r="AM50" i="1" s="1"/>
  <c r="AA35" i="1"/>
  <c r="AB35" i="1" s="1"/>
  <c r="AC35" i="1" s="1"/>
  <c r="AD35" i="1" s="1"/>
  <c r="AE35" i="1" s="1"/>
  <c r="AF35" i="1" s="1"/>
  <c r="AG35" i="1" s="1"/>
  <c r="AH35" i="1" s="1"/>
  <c r="AI35" i="1" s="1"/>
  <c r="AJ35" i="1" s="1"/>
  <c r="AK35" i="1" s="1"/>
  <c r="AL35" i="1" s="1"/>
  <c r="AM35" i="1" s="1"/>
  <c r="AA34" i="1"/>
  <c r="AB34" i="1" s="1"/>
  <c r="AC34" i="1" s="1"/>
  <c r="AD34" i="1" s="1"/>
  <c r="AE34" i="1" s="1"/>
  <c r="AF34" i="1" s="1"/>
  <c r="AG34" i="1" s="1"/>
  <c r="AH34" i="1" s="1"/>
  <c r="AI34" i="1" s="1"/>
  <c r="AJ34" i="1" s="1"/>
  <c r="AK34" i="1" s="1"/>
  <c r="AL34" i="1" s="1"/>
  <c r="AM34" i="1" s="1"/>
  <c r="AA25" i="1"/>
  <c r="AA24" i="1"/>
  <c r="AB24" i="1" s="1"/>
  <c r="AC24" i="1" s="1"/>
  <c r="AD24" i="1" s="1"/>
  <c r="AE24" i="1" s="1"/>
  <c r="AF24" i="1" s="1"/>
  <c r="AG24" i="1" s="1"/>
  <c r="AH24" i="1" s="1"/>
  <c r="AI24" i="1" s="1"/>
  <c r="AJ24" i="1" s="1"/>
  <c r="AK24" i="1" s="1"/>
  <c r="AL24" i="1" s="1"/>
  <c r="AM24" i="1" s="1"/>
  <c r="W124" i="1"/>
  <c r="Z124" i="1" s="1"/>
  <c r="W122" i="1"/>
  <c r="X122" i="1" s="1"/>
  <c r="W119" i="1"/>
  <c r="Z119" i="1" s="1"/>
  <c r="W104" i="1"/>
  <c r="Z104" i="1" s="1"/>
  <c r="W102" i="1"/>
  <c r="Z102" i="1" s="1"/>
  <c r="W75" i="1"/>
  <c r="X75" i="1" s="1"/>
  <c r="W74" i="1"/>
  <c r="Z74" i="1" s="1"/>
  <c r="W73" i="1"/>
  <c r="W67" i="1"/>
  <c r="Z67" i="1" s="1"/>
  <c r="Z54" i="1"/>
  <c r="W51" i="1"/>
  <c r="Z51" i="1" s="1"/>
  <c r="W50" i="1"/>
  <c r="X50" i="1" s="1"/>
  <c r="W35" i="1"/>
  <c r="W34" i="1"/>
  <c r="X34" i="1" s="1"/>
  <c r="W25" i="1"/>
  <c r="W24" i="1"/>
  <c r="T124" i="1"/>
  <c r="T122" i="1"/>
  <c r="V122" i="1" s="1"/>
  <c r="T119" i="1"/>
  <c r="T104" i="1"/>
  <c r="T102" i="1"/>
  <c r="V102" i="1" s="1"/>
  <c r="U75" i="1"/>
  <c r="T74" i="1"/>
  <c r="T73" i="1"/>
  <c r="T67" i="1"/>
  <c r="T51" i="1"/>
  <c r="U51" i="1" s="1"/>
  <c r="T50" i="1"/>
  <c r="V50" i="1" s="1"/>
  <c r="T35" i="1"/>
  <c r="U35" i="1" s="1"/>
  <c r="T34" i="1"/>
  <c r="T24" i="1"/>
  <c r="V24" i="1" s="1"/>
  <c r="Q5" i="1"/>
  <c r="R5" i="1" s="1"/>
  <c r="P7" i="1"/>
  <c r="Q124" i="1"/>
  <c r="Q122" i="1"/>
  <c r="S122" i="1" s="1"/>
  <c r="Q119" i="1"/>
  <c r="Q104" i="1"/>
  <c r="R104" i="1" s="1"/>
  <c r="Q102" i="1"/>
  <c r="R102" i="1" s="1"/>
  <c r="Q74" i="1"/>
  <c r="S74" i="1" s="1"/>
  <c r="Q73" i="1"/>
  <c r="R73" i="1" s="1"/>
  <c r="Q67" i="1"/>
  <c r="S67" i="1" s="1"/>
  <c r="Q51" i="1"/>
  <c r="Q50" i="1"/>
  <c r="S50" i="1" s="1"/>
  <c r="Q35" i="1"/>
  <c r="R35" i="1" s="1"/>
  <c r="Q34" i="1"/>
  <c r="Q24" i="1"/>
  <c r="O124" i="1"/>
  <c r="P124" i="1" s="1"/>
  <c r="O122" i="1"/>
  <c r="P122" i="1" s="1"/>
  <c r="O74" i="1"/>
  <c r="P74" i="1" s="1"/>
  <c r="P75" i="1"/>
  <c r="P76" i="1"/>
  <c r="O73" i="1"/>
  <c r="P73" i="1" s="1"/>
  <c r="P54" i="1"/>
  <c r="O51" i="1"/>
  <c r="P51" i="1" s="1"/>
  <c r="Q37" i="1"/>
  <c r="T37" i="1"/>
  <c r="W37" i="1"/>
  <c r="Y37" i="1" s="1"/>
  <c r="AA37" i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O38" i="1"/>
  <c r="P38" i="1" s="1"/>
  <c r="Q38" i="1"/>
  <c r="R38" i="1" s="1"/>
  <c r="T38" i="1"/>
  <c r="W38" i="1"/>
  <c r="AA38" i="1"/>
  <c r="AB38" i="1" s="1"/>
  <c r="AC38" i="1" s="1"/>
  <c r="AD38" i="1" s="1"/>
  <c r="AE38" i="1" s="1"/>
  <c r="AF38" i="1" s="1"/>
  <c r="AG38" i="1" s="1"/>
  <c r="AH38" i="1" s="1"/>
  <c r="AI38" i="1" s="1"/>
  <c r="AJ38" i="1" s="1"/>
  <c r="AK38" i="1" s="1"/>
  <c r="AL38" i="1" s="1"/>
  <c r="AM38" i="1" s="1"/>
  <c r="P39" i="1"/>
  <c r="Q39" i="1"/>
  <c r="S39" i="1" s="1"/>
  <c r="T39" i="1"/>
  <c r="U39" i="1" s="1"/>
  <c r="W39" i="1"/>
  <c r="AA39" i="1"/>
  <c r="AB39" i="1" s="1"/>
  <c r="AC39" i="1" s="1"/>
  <c r="AD39" i="1" s="1"/>
  <c r="AE39" i="1" s="1"/>
  <c r="AF39" i="1" s="1"/>
  <c r="AG39" i="1" s="1"/>
  <c r="AH39" i="1" s="1"/>
  <c r="AI39" i="1" s="1"/>
  <c r="AJ39" i="1" s="1"/>
  <c r="AK39" i="1" s="1"/>
  <c r="AL39" i="1" s="1"/>
  <c r="AM39" i="1" s="1"/>
  <c r="O40" i="1"/>
  <c r="P40" i="1" s="1"/>
  <c r="Q40" i="1"/>
  <c r="R40" i="1" s="1"/>
  <c r="T40" i="1"/>
  <c r="U40" i="1" s="1"/>
  <c r="W40" i="1"/>
  <c r="AA40" i="1"/>
  <c r="AB40" i="1" s="1"/>
  <c r="AC40" i="1" s="1"/>
  <c r="AD40" i="1" s="1"/>
  <c r="AE40" i="1" s="1"/>
  <c r="AF40" i="1" s="1"/>
  <c r="AG40" i="1" s="1"/>
  <c r="AH40" i="1" s="1"/>
  <c r="AI40" i="1" s="1"/>
  <c r="AJ40" i="1" s="1"/>
  <c r="AK40" i="1" s="1"/>
  <c r="AL40" i="1" s="1"/>
  <c r="AM40" i="1" s="1"/>
  <c r="O41" i="1"/>
  <c r="P41" i="1" s="1"/>
  <c r="Q41" i="1"/>
  <c r="R41" i="1" s="1"/>
  <c r="T41" i="1"/>
  <c r="W41" i="1"/>
  <c r="X41" i="1" s="1"/>
  <c r="AA41" i="1"/>
  <c r="AB41" i="1" s="1"/>
  <c r="AC41" i="1" s="1"/>
  <c r="AD41" i="1" s="1"/>
  <c r="AE41" i="1" s="1"/>
  <c r="AF41" i="1" s="1"/>
  <c r="AG41" i="1" s="1"/>
  <c r="AH41" i="1" s="1"/>
  <c r="AI41" i="1" s="1"/>
  <c r="AJ41" i="1" s="1"/>
  <c r="AK41" i="1" s="1"/>
  <c r="AL41" i="1" s="1"/>
  <c r="AM41" i="1" s="1"/>
  <c r="O42" i="1"/>
  <c r="P42" i="1" s="1"/>
  <c r="Q42" i="1"/>
  <c r="R42" i="1" s="1"/>
  <c r="T42" i="1"/>
  <c r="U42" i="1" s="1"/>
  <c r="W42" i="1"/>
  <c r="Z42" i="1" s="1"/>
  <c r="AA42" i="1"/>
  <c r="AB42" i="1" s="1"/>
  <c r="AC42" i="1" s="1"/>
  <c r="AD42" i="1" s="1"/>
  <c r="AE42" i="1" s="1"/>
  <c r="AF42" i="1" s="1"/>
  <c r="AG42" i="1" s="1"/>
  <c r="AH42" i="1" s="1"/>
  <c r="AI42" i="1" s="1"/>
  <c r="AJ42" i="1" s="1"/>
  <c r="AK42" i="1" s="1"/>
  <c r="AL42" i="1" s="1"/>
  <c r="AM42" i="1" s="1"/>
  <c r="AA36" i="1"/>
  <c r="AB36" i="1" s="1"/>
  <c r="AC36" i="1" s="1"/>
  <c r="AD36" i="1" s="1"/>
  <c r="AE36" i="1" s="1"/>
  <c r="AF36" i="1" s="1"/>
  <c r="AG36" i="1" s="1"/>
  <c r="AH36" i="1" s="1"/>
  <c r="AI36" i="1" s="1"/>
  <c r="AJ36" i="1" s="1"/>
  <c r="AK36" i="1" s="1"/>
  <c r="AL36" i="1" s="1"/>
  <c r="AM36" i="1" s="1"/>
  <c r="W36" i="1"/>
  <c r="T36" i="1"/>
  <c r="U36" i="1" s="1"/>
  <c r="Q36" i="1"/>
  <c r="R36" i="1" s="1"/>
  <c r="O36" i="1"/>
  <c r="P36" i="1" s="1"/>
  <c r="O34" i="1"/>
  <c r="P34" i="1" s="1"/>
  <c r="O35" i="1"/>
  <c r="P35" i="1" s="1"/>
  <c r="O24" i="1"/>
  <c r="P24" i="1" s="1"/>
  <c r="P5" i="1"/>
  <c r="AA108" i="1"/>
  <c r="AB108" i="1" s="1"/>
  <c r="AC108" i="1" s="1"/>
  <c r="AD108" i="1" s="1"/>
  <c r="AE108" i="1" s="1"/>
  <c r="AF108" i="1" s="1"/>
  <c r="AG108" i="1" s="1"/>
  <c r="AH108" i="1" s="1"/>
  <c r="AI108" i="1" s="1"/>
  <c r="AJ108" i="1" s="1"/>
  <c r="AK108" i="1" s="1"/>
  <c r="AL108" i="1" s="1"/>
  <c r="AM108" i="1" s="1"/>
  <c r="W108" i="1"/>
  <c r="X108" i="1" s="1"/>
  <c r="T108" i="1"/>
  <c r="Q108" i="1"/>
  <c r="S108" i="1" s="1"/>
  <c r="AA109" i="1"/>
  <c r="AB109" i="1" s="1"/>
  <c r="AC109" i="1" s="1"/>
  <c r="AD109" i="1" s="1"/>
  <c r="AE109" i="1" s="1"/>
  <c r="AF109" i="1" s="1"/>
  <c r="AG109" i="1" s="1"/>
  <c r="AH109" i="1" s="1"/>
  <c r="AI109" i="1" s="1"/>
  <c r="AJ109" i="1" s="1"/>
  <c r="AK109" i="1" s="1"/>
  <c r="AL109" i="1" s="1"/>
  <c r="AM109" i="1" s="1"/>
  <c r="AA99" i="1"/>
  <c r="AA98" i="1"/>
  <c r="AB98" i="1" s="1"/>
  <c r="AC98" i="1" s="1"/>
  <c r="AD98" i="1" s="1"/>
  <c r="AE98" i="1" s="1"/>
  <c r="AA91" i="1"/>
  <c r="AA175" i="1" s="1"/>
  <c r="AA240" i="1" s="1"/>
  <c r="AA303" i="1" s="1"/>
  <c r="AA86" i="1"/>
  <c r="AB86" i="1" s="1"/>
  <c r="AC86" i="1" s="1"/>
  <c r="AD86" i="1" s="1"/>
  <c r="AE86" i="1" s="1"/>
  <c r="AF86" i="1" s="1"/>
  <c r="AG86" i="1" s="1"/>
  <c r="AH86" i="1" s="1"/>
  <c r="AI86" i="1" s="1"/>
  <c r="AJ86" i="1" s="1"/>
  <c r="AK86" i="1" s="1"/>
  <c r="AL86" i="1" s="1"/>
  <c r="AM86" i="1" s="1"/>
  <c r="AA85" i="1"/>
  <c r="AB85" i="1" s="1"/>
  <c r="AC85" i="1" s="1"/>
  <c r="AD85" i="1" s="1"/>
  <c r="AE85" i="1" s="1"/>
  <c r="AF85" i="1" s="1"/>
  <c r="AG85" i="1" s="1"/>
  <c r="AH85" i="1" s="1"/>
  <c r="AI85" i="1" s="1"/>
  <c r="AJ85" i="1" s="1"/>
  <c r="AK85" i="1" s="1"/>
  <c r="AL85" i="1" s="1"/>
  <c r="AM85" i="1" s="1"/>
  <c r="AA191" i="1"/>
  <c r="AA167" i="1" s="1"/>
  <c r="AA52" i="1"/>
  <c r="AB52" i="1" s="1"/>
  <c r="AC52" i="1" s="1"/>
  <c r="AD52" i="1" s="1"/>
  <c r="AE52" i="1" s="1"/>
  <c r="AF52" i="1" s="1"/>
  <c r="AG52" i="1" s="1"/>
  <c r="AH52" i="1" s="1"/>
  <c r="AI52" i="1" s="1"/>
  <c r="AJ52" i="1" s="1"/>
  <c r="AK52" i="1" s="1"/>
  <c r="AL52" i="1" s="1"/>
  <c r="AM52" i="1" s="1"/>
  <c r="AA46" i="1"/>
  <c r="W109" i="1"/>
  <c r="Y109" i="1" s="1"/>
  <c r="W99" i="1"/>
  <c r="W98" i="1"/>
  <c r="Z98" i="1" s="1"/>
  <c r="W91" i="1"/>
  <c r="X91" i="1" s="1"/>
  <c r="X175" i="1" s="1"/>
  <c r="X240" i="1" s="1"/>
  <c r="X303" i="1" s="1"/>
  <c r="W86" i="1"/>
  <c r="X86" i="1" s="1"/>
  <c r="W85" i="1"/>
  <c r="Z85" i="1" s="1"/>
  <c r="W191" i="1"/>
  <c r="W167" i="1" s="1"/>
  <c r="W52" i="1"/>
  <c r="Y52" i="1" s="1"/>
  <c r="W46" i="1"/>
  <c r="Y46" i="1" s="1"/>
  <c r="T109" i="1"/>
  <c r="V109" i="1" s="1"/>
  <c r="T120" i="1"/>
  <c r="U120" i="1" s="1"/>
  <c r="T99" i="1"/>
  <c r="T98" i="1"/>
  <c r="V98" i="1" s="1"/>
  <c r="T91" i="1"/>
  <c r="T175" i="1" s="1"/>
  <c r="T240" i="1" s="1"/>
  <c r="T303" i="1" s="1"/>
  <c r="T86" i="1"/>
  <c r="U86" i="1" s="1"/>
  <c r="T85" i="1"/>
  <c r="U85" i="1" s="1"/>
  <c r="T191" i="1"/>
  <c r="U191" i="1" s="1"/>
  <c r="T52" i="1"/>
  <c r="U52" i="1" s="1"/>
  <c r="T46" i="1"/>
  <c r="Q109" i="1"/>
  <c r="Q120" i="1"/>
  <c r="S120" i="1" s="1"/>
  <c r="Q99" i="1"/>
  <c r="Q98" i="1"/>
  <c r="S98" i="1" s="1"/>
  <c r="Q91" i="1"/>
  <c r="S91" i="1" s="1"/>
  <c r="S175" i="1" s="1"/>
  <c r="S240" i="1" s="1"/>
  <c r="S303" i="1" s="1"/>
  <c r="Q86" i="1"/>
  <c r="R86" i="1" s="1"/>
  <c r="Q85" i="1"/>
  <c r="R85" i="1" s="1"/>
  <c r="Q191" i="1"/>
  <c r="R191" i="1" s="1"/>
  <c r="R167" i="1" s="1"/>
  <c r="Q52" i="1"/>
  <c r="S52" i="1" s="1"/>
  <c r="Q46" i="1"/>
  <c r="S46" i="1" s="1"/>
  <c r="O120" i="1"/>
  <c r="P120" i="1" s="1"/>
  <c r="O91" i="1"/>
  <c r="O175" i="1" s="1"/>
  <c r="O240" i="1" s="1"/>
  <c r="O303" i="1" s="1"/>
  <c r="O46" i="1"/>
  <c r="O85" i="1"/>
  <c r="P85" i="1" s="1"/>
  <c r="O86" i="1"/>
  <c r="P86" i="1" s="1"/>
  <c r="P108" i="1"/>
  <c r="P109" i="1"/>
  <c r="R109" i="1" l="1"/>
  <c r="Q107" i="1"/>
  <c r="Q243" i="1" s="1"/>
  <c r="X195" i="1"/>
  <c r="R257" i="1"/>
  <c r="T232" i="1"/>
  <c r="Z196" i="1"/>
  <c r="Y252" i="1"/>
  <c r="S251" i="1"/>
  <c r="S295" i="1" s="1"/>
  <c r="Y200" i="1"/>
  <c r="Q232" i="1"/>
  <c r="R198" i="1"/>
  <c r="U254" i="1"/>
  <c r="S258" i="1"/>
  <c r="X253" i="1"/>
  <c r="X201" i="1"/>
  <c r="V196" i="1"/>
  <c r="V200" i="1"/>
  <c r="R97" i="1"/>
  <c r="Z256" i="1"/>
  <c r="S193" i="1"/>
  <c r="U195" i="1"/>
  <c r="P192" i="1"/>
  <c r="P232" i="1" s="1"/>
  <c r="O232" i="1"/>
  <c r="Z75" i="1"/>
  <c r="O177" i="1"/>
  <c r="O162" i="1"/>
  <c r="B5" i="3" s="1"/>
  <c r="Z201" i="1"/>
  <c r="S201" i="1"/>
  <c r="R200" i="1"/>
  <c r="R203" i="1" s="1"/>
  <c r="Z195" i="1"/>
  <c r="S195" i="1"/>
  <c r="P254" i="1"/>
  <c r="O266" i="1"/>
  <c r="D2" i="3" s="1"/>
  <c r="P253" i="1"/>
  <c r="S259" i="1"/>
  <c r="X252" i="1"/>
  <c r="Y261" i="1"/>
  <c r="P251" i="1"/>
  <c r="P295" i="1" s="1"/>
  <c r="O139" i="1"/>
  <c r="B2" i="3" s="1"/>
  <c r="O243" i="1"/>
  <c r="U96" i="1"/>
  <c r="AA162" i="1"/>
  <c r="P99" i="1"/>
  <c r="O145" i="1"/>
  <c r="B3" i="3" s="1"/>
  <c r="U99" i="1"/>
  <c r="T162" i="1"/>
  <c r="O167" i="1"/>
  <c r="P88" i="1"/>
  <c r="O273" i="1"/>
  <c r="D3" i="3" s="1"/>
  <c r="O210" i="1"/>
  <c r="C3" i="3" s="1"/>
  <c r="P46" i="1"/>
  <c r="O182" i="1"/>
  <c r="Z99" i="1"/>
  <c r="W162" i="1"/>
  <c r="S99" i="1"/>
  <c r="S162" i="1" s="1"/>
  <c r="Q162" i="1"/>
  <c r="P101" i="1"/>
  <c r="O203" i="1"/>
  <c r="C2" i="3" s="1"/>
  <c r="O307" i="1"/>
  <c r="Y256" i="1"/>
  <c r="V253" i="1"/>
  <c r="S254" i="1"/>
  <c r="U257" i="1"/>
  <c r="Z260" i="1"/>
  <c r="Y260" i="1"/>
  <c r="Z96" i="1"/>
  <c r="O152" i="1"/>
  <c r="B4" i="3" s="1"/>
  <c r="AB96" i="1"/>
  <c r="P96" i="1"/>
  <c r="P193" i="1"/>
  <c r="P191" i="1"/>
  <c r="P167" i="1" s="1"/>
  <c r="S102" i="1"/>
  <c r="Y11" i="1"/>
  <c r="R108" i="1"/>
  <c r="X101" i="1"/>
  <c r="U122" i="1"/>
  <c r="Z11" i="1"/>
  <c r="R121" i="1"/>
  <c r="S53" i="1"/>
  <c r="Y91" i="1"/>
  <c r="Y175" i="1" s="1"/>
  <c r="Y240" i="1" s="1"/>
  <c r="Y303" i="1" s="1"/>
  <c r="U62" i="1"/>
  <c r="R13" i="1"/>
  <c r="V120" i="1"/>
  <c r="Z91" i="1"/>
  <c r="Z175" i="1" s="1"/>
  <c r="Z240" i="1" s="1"/>
  <c r="Z303" i="1" s="1"/>
  <c r="Z106" i="1"/>
  <c r="Z122" i="1"/>
  <c r="S7" i="1"/>
  <c r="Y122" i="1"/>
  <c r="U49" i="1"/>
  <c r="Z257" i="1"/>
  <c r="R251" i="1"/>
  <c r="R295" i="1" s="1"/>
  <c r="X261" i="1"/>
  <c r="E47" i="2"/>
  <c r="Y257" i="1"/>
  <c r="V258" i="1"/>
  <c r="V261" i="1"/>
  <c r="R260" i="1"/>
  <c r="T88" i="1"/>
  <c r="V88" i="1" s="1"/>
  <c r="Q88" i="1"/>
  <c r="R88" i="1" s="1"/>
  <c r="Z120" i="1"/>
  <c r="AA232" i="1"/>
  <c r="AA88" i="1"/>
  <c r="AB88" i="1" s="1"/>
  <c r="AC88" i="1" s="1"/>
  <c r="AD88" i="1" s="1"/>
  <c r="AE88" i="1" s="1"/>
  <c r="AF88" i="1" s="1"/>
  <c r="AG88" i="1" s="1"/>
  <c r="AH88" i="1" s="1"/>
  <c r="AI88" i="1" s="1"/>
  <c r="AJ88" i="1" s="1"/>
  <c r="AK88" i="1" s="1"/>
  <c r="AL88" i="1" s="1"/>
  <c r="AM88" i="1" s="1"/>
  <c r="W88" i="1"/>
  <c r="Y88" i="1" s="1"/>
  <c r="U250" i="1"/>
  <c r="X102" i="1"/>
  <c r="U24" i="1"/>
  <c r="S104" i="1"/>
  <c r="AB191" i="1"/>
  <c r="AB167" i="1" s="1"/>
  <c r="Y102" i="1"/>
  <c r="R62" i="1"/>
  <c r="U50" i="1"/>
  <c r="V51" i="1"/>
  <c r="V61" i="1"/>
  <c r="V7" i="1"/>
  <c r="X49" i="1"/>
  <c r="S47" i="1"/>
  <c r="R64" i="1"/>
  <c r="R120" i="1"/>
  <c r="U91" i="1"/>
  <c r="U175" i="1" s="1"/>
  <c r="U240" i="1" s="1"/>
  <c r="U303" i="1" s="1"/>
  <c r="X191" i="1"/>
  <c r="X167" i="1" s="1"/>
  <c r="Y53" i="1"/>
  <c r="U47" i="1"/>
  <c r="V52" i="1"/>
  <c r="T182" i="1"/>
  <c r="R12" i="1"/>
  <c r="X67" i="1"/>
  <c r="U15" i="1"/>
  <c r="X120" i="1"/>
  <c r="X128" i="1"/>
  <c r="R106" i="1"/>
  <c r="X106" i="1"/>
  <c r="Y41" i="1"/>
  <c r="X7" i="1"/>
  <c r="Y65" i="1"/>
  <c r="V99" i="1"/>
  <c r="V162" i="1" s="1"/>
  <c r="Y61" i="1"/>
  <c r="Y7" i="1"/>
  <c r="S40" i="1"/>
  <c r="X61" i="1"/>
  <c r="Y67" i="1"/>
  <c r="U63" i="1"/>
  <c r="AA182" i="1"/>
  <c r="U109" i="1"/>
  <c r="Y74" i="1"/>
  <c r="V91" i="1"/>
  <c r="V175" i="1" s="1"/>
  <c r="V240" i="1" s="1"/>
  <c r="V303" i="1" s="1"/>
  <c r="Y191" i="1"/>
  <c r="Y167" i="1" s="1"/>
  <c r="R98" i="1"/>
  <c r="AB91" i="1"/>
  <c r="U102" i="1"/>
  <c r="V191" i="1"/>
  <c r="V167" i="1" s="1"/>
  <c r="Z191" i="1"/>
  <c r="Z167" i="1" s="1"/>
  <c r="Y108" i="1"/>
  <c r="AA139" i="1"/>
  <c r="T167" i="1"/>
  <c r="W175" i="1"/>
  <c r="W240" i="1" s="1"/>
  <c r="W303" i="1" s="1"/>
  <c r="U64" i="1"/>
  <c r="R74" i="1"/>
  <c r="U53" i="1"/>
  <c r="Y49" i="1"/>
  <c r="Y51" i="1"/>
  <c r="Z108" i="1"/>
  <c r="U106" i="1"/>
  <c r="R46" i="1"/>
  <c r="Z46" i="1"/>
  <c r="V86" i="1"/>
  <c r="Y86" i="1"/>
  <c r="X65" i="1"/>
  <c r="Y54" i="1"/>
  <c r="X53" i="1"/>
  <c r="X52" i="1"/>
  <c r="Z52" i="1"/>
  <c r="R15" i="1"/>
  <c r="U12" i="1"/>
  <c r="S16" i="1"/>
  <c r="U19" i="1"/>
  <c r="S84" i="1"/>
  <c r="V97" i="1"/>
  <c r="AC194" i="1"/>
  <c r="AD194" i="1" s="1"/>
  <c r="V199" i="1"/>
  <c r="R199" i="1"/>
  <c r="V198" i="1"/>
  <c r="Z253" i="1"/>
  <c r="AB251" i="1"/>
  <c r="Z200" i="1"/>
  <c r="R194" i="1"/>
  <c r="U192" i="1"/>
  <c r="U232" i="1" s="1"/>
  <c r="Z86" i="1"/>
  <c r="X99" i="1"/>
  <c r="AB99" i="1"/>
  <c r="S63" i="1"/>
  <c r="R39" i="1"/>
  <c r="X16" i="1"/>
  <c r="R18" i="1"/>
  <c r="Z34" i="1"/>
  <c r="X126" i="1"/>
  <c r="Y99" i="1"/>
  <c r="T139" i="1"/>
  <c r="W139" i="1"/>
  <c r="Z41" i="1"/>
  <c r="Z50" i="1"/>
  <c r="Y50" i="1"/>
  <c r="P98" i="1"/>
  <c r="Q177" i="1"/>
  <c r="X51" i="1"/>
  <c r="X74" i="1"/>
  <c r="Y34" i="1"/>
  <c r="Y20" i="1"/>
  <c r="R11" i="1"/>
  <c r="Y12" i="1"/>
  <c r="V18" i="1"/>
  <c r="S109" i="1"/>
  <c r="S42" i="1"/>
  <c r="Y16" i="1"/>
  <c r="X20" i="1"/>
  <c r="X12" i="1"/>
  <c r="V75" i="1"/>
  <c r="S87" i="1"/>
  <c r="X13" i="1"/>
  <c r="Y17" i="1"/>
  <c r="X17" i="1"/>
  <c r="V35" i="1"/>
  <c r="S85" i="1"/>
  <c r="R50" i="1"/>
  <c r="Y13" i="1"/>
  <c r="S5" i="1"/>
  <c r="Y75" i="1"/>
  <c r="U20" i="1"/>
  <c r="R14" i="1"/>
  <c r="R17" i="1"/>
  <c r="R122" i="1"/>
  <c r="U13" i="1"/>
  <c r="U11" i="1"/>
  <c r="S49" i="1"/>
  <c r="R65" i="1"/>
  <c r="Y84" i="1"/>
  <c r="X84" i="1"/>
  <c r="AC177" i="1"/>
  <c r="V40" i="1"/>
  <c r="U16" i="1"/>
  <c r="Y48" i="1"/>
  <c r="X48" i="1"/>
  <c r="X96" i="1"/>
  <c r="U100" i="1"/>
  <c r="U119" i="1"/>
  <c r="V119" i="1"/>
  <c r="U5" i="1"/>
  <c r="V5" i="1"/>
  <c r="Z47" i="1"/>
  <c r="X47" i="1"/>
  <c r="V255" i="1"/>
  <c r="T290" i="1"/>
  <c r="U255" i="1"/>
  <c r="X104" i="1"/>
  <c r="Y38" i="1"/>
  <c r="Z38" i="1"/>
  <c r="Z15" i="1"/>
  <c r="Y15" i="1"/>
  <c r="Z19" i="1"/>
  <c r="X19" i="1"/>
  <c r="U84" i="1"/>
  <c r="V84" i="1"/>
  <c r="V201" i="1"/>
  <c r="U201" i="1"/>
  <c r="U197" i="1"/>
  <c r="V197" i="1"/>
  <c r="Z97" i="1"/>
  <c r="Y97" i="1"/>
  <c r="X97" i="1"/>
  <c r="Z198" i="1"/>
  <c r="X198" i="1"/>
  <c r="R256" i="1"/>
  <c r="S256" i="1"/>
  <c r="O197" i="1"/>
  <c r="O217" i="1" s="1"/>
  <c r="Q197" i="1"/>
  <c r="R197" i="1" s="1"/>
  <c r="AA197" i="1"/>
  <c r="W197" i="1"/>
  <c r="W227" i="1" s="1"/>
  <c r="X18" i="1"/>
  <c r="Y18" i="1"/>
  <c r="R20" i="1"/>
  <c r="S20" i="1"/>
  <c r="Z192" i="1"/>
  <c r="Z232" i="1" s="1"/>
  <c r="Y192" i="1"/>
  <c r="Y232" i="1" s="1"/>
  <c r="X192" i="1"/>
  <c r="X232" i="1" s="1"/>
  <c r="W232" i="1"/>
  <c r="U251" i="1"/>
  <c r="U295" i="1" s="1"/>
  <c r="V251" i="1"/>
  <c r="V295" i="1" s="1"/>
  <c r="Y104" i="1"/>
  <c r="Y47" i="1"/>
  <c r="U17" i="1"/>
  <c r="V17" i="1"/>
  <c r="S252" i="1"/>
  <c r="V259" i="1"/>
  <c r="AC253" i="1"/>
  <c r="R196" i="1"/>
  <c r="Q266" i="1"/>
  <c r="S196" i="1"/>
  <c r="Z250" i="1"/>
  <c r="Y250" i="1"/>
  <c r="X250" i="1"/>
  <c r="Y63" i="1"/>
  <c r="Z63" i="1"/>
  <c r="Z194" i="1"/>
  <c r="X194" i="1"/>
  <c r="X258" i="1"/>
  <c r="Y258" i="1"/>
  <c r="Z258" i="1"/>
  <c r="O255" i="1"/>
  <c r="P255" i="1" s="1"/>
  <c r="W255" i="1"/>
  <c r="W290" i="1" s="1"/>
  <c r="AA255" i="1"/>
  <c r="AA290" i="1" s="1"/>
  <c r="Q255" i="1"/>
  <c r="Z18" i="1"/>
  <c r="S73" i="1"/>
  <c r="Y14" i="1"/>
  <c r="X14" i="1"/>
  <c r="Z14" i="1"/>
  <c r="S19" i="1"/>
  <c r="R19" i="1"/>
  <c r="T295" i="1"/>
  <c r="Y254" i="1"/>
  <c r="W266" i="1"/>
  <c r="X254" i="1"/>
  <c r="Z254" i="1"/>
  <c r="P100" i="1"/>
  <c r="S35" i="1"/>
  <c r="R67" i="1"/>
  <c r="S41" i="1"/>
  <c r="Q203" i="1"/>
  <c r="S38" i="1"/>
  <c r="Y196" i="1"/>
  <c r="U73" i="1"/>
  <c r="V73" i="1"/>
  <c r="S36" i="1"/>
  <c r="V38" i="1"/>
  <c r="U38" i="1"/>
  <c r="R24" i="1"/>
  <c r="S24" i="1"/>
  <c r="Y62" i="1"/>
  <c r="X62" i="1"/>
  <c r="Z62" i="1"/>
  <c r="AC261" i="1"/>
  <c r="AD261" i="1" s="1"/>
  <c r="AE261" i="1" s="1"/>
  <c r="AF261" i="1" s="1"/>
  <c r="AG261" i="1" s="1"/>
  <c r="AH261" i="1" s="1"/>
  <c r="AI261" i="1" s="1"/>
  <c r="AJ261" i="1" s="1"/>
  <c r="AK261" i="1" s="1"/>
  <c r="AL261" i="1" s="1"/>
  <c r="AM261" i="1" s="1"/>
  <c r="Q175" i="1"/>
  <c r="Q240" i="1" s="1"/>
  <c r="Q303" i="1" s="1"/>
  <c r="R91" i="1"/>
  <c r="R175" i="1" s="1"/>
  <c r="R240" i="1" s="1"/>
  <c r="R303" i="1" s="1"/>
  <c r="Z109" i="1"/>
  <c r="X109" i="1"/>
  <c r="X5" i="1"/>
  <c r="U65" i="1"/>
  <c r="Z36" i="1"/>
  <c r="Y36" i="1"/>
  <c r="X36" i="1"/>
  <c r="X42" i="1"/>
  <c r="Y42" i="1"/>
  <c r="X40" i="1"/>
  <c r="Y40" i="1"/>
  <c r="Z40" i="1"/>
  <c r="R124" i="1"/>
  <c r="S124" i="1"/>
  <c r="V34" i="1"/>
  <c r="U34" i="1"/>
  <c r="U124" i="1"/>
  <c r="V124" i="1"/>
  <c r="R119" i="1"/>
  <c r="S119" i="1"/>
  <c r="Q167" i="1"/>
  <c r="Q139" i="1"/>
  <c r="S191" i="1"/>
  <c r="S167" i="1" s="1"/>
  <c r="Y5" i="1"/>
  <c r="Y39" i="1"/>
  <c r="X39" i="1"/>
  <c r="Z39" i="1"/>
  <c r="U37" i="1"/>
  <c r="V37" i="1"/>
  <c r="R48" i="1"/>
  <c r="S48" i="1"/>
  <c r="V39" i="1"/>
  <c r="V36" i="1"/>
  <c r="V42" i="1"/>
  <c r="X38" i="1"/>
  <c r="R261" i="1"/>
  <c r="S261" i="1"/>
  <c r="S253" i="1"/>
  <c r="R253" i="1"/>
  <c r="V260" i="1"/>
  <c r="U260" i="1"/>
  <c r="T266" i="1"/>
  <c r="U256" i="1"/>
  <c r="V256" i="1"/>
  <c r="U252" i="1"/>
  <c r="V252" i="1"/>
  <c r="Z259" i="1"/>
  <c r="Y259" i="1"/>
  <c r="W295" i="1"/>
  <c r="Y251" i="1"/>
  <c r="Y295" i="1" s="1"/>
  <c r="Z251" i="1"/>
  <c r="Z295" i="1" s="1"/>
  <c r="X251" i="1"/>
  <c r="X295" i="1" s="1"/>
  <c r="AB266" i="1"/>
  <c r="AC254" i="1"/>
  <c r="Z121" i="1"/>
  <c r="Y121" i="1"/>
  <c r="V193" i="1"/>
  <c r="U193" i="1"/>
  <c r="U126" i="1"/>
  <c r="X259" i="1"/>
  <c r="AC192" i="1"/>
  <c r="AB232" i="1"/>
  <c r="Y128" i="1"/>
  <c r="V87" i="1"/>
  <c r="T243" i="1"/>
  <c r="V101" i="1"/>
  <c r="V243" i="1" s="1"/>
  <c r="U101" i="1"/>
  <c r="Z193" i="1"/>
  <c r="Y193" i="1"/>
  <c r="X193" i="1"/>
  <c r="AA243" i="1"/>
  <c r="AA307" i="1"/>
  <c r="AB100" i="1"/>
  <c r="AC100" i="1" s="1"/>
  <c r="AD100" i="1" s="1"/>
  <c r="AE100" i="1" s="1"/>
  <c r="AF100" i="1" s="1"/>
  <c r="AG100" i="1" s="1"/>
  <c r="AH100" i="1" s="1"/>
  <c r="AI100" i="1" s="1"/>
  <c r="AJ100" i="1" s="1"/>
  <c r="AK100" i="1" s="1"/>
  <c r="AL100" i="1" s="1"/>
  <c r="AM100" i="1" s="1"/>
  <c r="T227" i="1"/>
  <c r="V194" i="1"/>
  <c r="Z199" i="1"/>
  <c r="Y199" i="1"/>
  <c r="X199" i="1"/>
  <c r="AA203" i="1"/>
  <c r="AB200" i="1"/>
  <c r="AC200" i="1" s="1"/>
  <c r="AD200" i="1" s="1"/>
  <c r="AE200" i="1" s="1"/>
  <c r="AF200" i="1" s="1"/>
  <c r="AG200" i="1" s="1"/>
  <c r="AH200" i="1" s="1"/>
  <c r="AI200" i="1" s="1"/>
  <c r="AJ200" i="1" s="1"/>
  <c r="AK200" i="1" s="1"/>
  <c r="AL200" i="1" s="1"/>
  <c r="AM200" i="1" s="1"/>
  <c r="P84" i="1"/>
  <c r="Y96" i="1"/>
  <c r="R192" i="1"/>
  <c r="R232" i="1" s="1"/>
  <c r="R250" i="1"/>
  <c r="AF98" i="1"/>
  <c r="AG98" i="1" s="1"/>
  <c r="AH98" i="1" s="1"/>
  <c r="AI98" i="1" s="1"/>
  <c r="AJ98" i="1" s="1"/>
  <c r="AK98" i="1" s="1"/>
  <c r="AL98" i="1" s="1"/>
  <c r="AM98" i="1" s="1"/>
  <c r="U167" i="1"/>
  <c r="AC106" i="1"/>
  <c r="V108" i="1"/>
  <c r="U108" i="1"/>
  <c r="U41" i="1"/>
  <c r="V41" i="1"/>
  <c r="R37" i="1"/>
  <c r="S37" i="1"/>
  <c r="R34" i="1"/>
  <c r="S34" i="1"/>
  <c r="AB177" i="1"/>
  <c r="X37" i="1"/>
  <c r="Z37" i="1"/>
  <c r="V67" i="1"/>
  <c r="U67" i="1"/>
  <c r="Y35" i="1"/>
  <c r="X35" i="1"/>
  <c r="Z35" i="1"/>
  <c r="Z64" i="1"/>
  <c r="Y64" i="1"/>
  <c r="X64" i="1"/>
  <c r="U14" i="1"/>
  <c r="V14" i="1"/>
  <c r="V48" i="1"/>
  <c r="U48" i="1"/>
  <c r="R61" i="1"/>
  <c r="S61" i="1"/>
  <c r="Z112" i="1"/>
  <c r="X112" i="1"/>
  <c r="Y112" i="1"/>
  <c r="R52" i="1"/>
  <c r="R99" i="1"/>
  <c r="U98" i="1"/>
  <c r="T177" i="1"/>
  <c r="Y85" i="1"/>
  <c r="X85" i="1"/>
  <c r="P91" i="1"/>
  <c r="P175" i="1" s="1"/>
  <c r="P240" i="1" s="1"/>
  <c r="P303" i="1" s="1"/>
  <c r="AA177" i="1"/>
  <c r="R51" i="1"/>
  <c r="S51" i="1"/>
  <c r="U104" i="1"/>
  <c r="V104" i="1"/>
  <c r="Y124" i="1"/>
  <c r="X124" i="1"/>
  <c r="Y98" i="1"/>
  <c r="X98" i="1"/>
  <c r="W177" i="1"/>
  <c r="V74" i="1"/>
  <c r="U74" i="1"/>
  <c r="S86" i="1"/>
  <c r="V85" i="1"/>
  <c r="Z24" i="1"/>
  <c r="X24" i="1"/>
  <c r="Y24" i="1"/>
  <c r="Y73" i="1"/>
  <c r="Z73" i="1"/>
  <c r="X73" i="1"/>
  <c r="X119" i="1"/>
  <c r="Y119" i="1"/>
  <c r="Y87" i="1"/>
  <c r="Z87" i="1"/>
  <c r="X87" i="1"/>
  <c r="U121" i="1"/>
  <c r="V121" i="1"/>
  <c r="T307" i="1"/>
  <c r="R112" i="1"/>
  <c r="S112" i="1"/>
  <c r="V128" i="1"/>
  <c r="U128" i="1"/>
  <c r="X100" i="1"/>
  <c r="Y100" i="1"/>
  <c r="Y243" i="1" s="1"/>
  <c r="Z100" i="1"/>
  <c r="AE84" i="1"/>
  <c r="S126" i="1"/>
  <c r="Z126" i="1"/>
  <c r="U112" i="1"/>
  <c r="S128" i="1"/>
  <c r="AA266" i="1"/>
  <c r="W203" i="1"/>
  <c r="AD101" i="1"/>
  <c r="T203" i="1"/>
  <c r="W307" i="1"/>
  <c r="R100" i="1"/>
  <c r="S100" i="1"/>
  <c r="AE121" i="1"/>
  <c r="Q307" i="1"/>
  <c r="Z101" i="1"/>
  <c r="Z177" i="1" s="1"/>
  <c r="W243" i="1"/>
  <c r="S101" i="1"/>
  <c r="U46" i="1"/>
  <c r="V46" i="1"/>
  <c r="X46" i="1"/>
  <c r="AB46" i="1"/>
  <c r="W182" i="1"/>
  <c r="Q182" i="1" l="1"/>
  <c r="R107" i="1"/>
  <c r="R177" i="1" s="1"/>
  <c r="S107" i="1"/>
  <c r="O290" i="1"/>
  <c r="D5" i="3" s="1"/>
  <c r="F5" i="3" s="1"/>
  <c r="U290" i="1"/>
  <c r="V290" i="1"/>
  <c r="Z266" i="1"/>
  <c r="P290" i="1"/>
  <c r="U227" i="1"/>
  <c r="O280" i="1"/>
  <c r="D4" i="3" s="1"/>
  <c r="F4" i="3" s="1"/>
  <c r="V273" i="1"/>
  <c r="P243" i="1"/>
  <c r="AB162" i="1"/>
  <c r="U162" i="1"/>
  <c r="P177" i="1"/>
  <c r="R162" i="1"/>
  <c r="Y162" i="1"/>
  <c r="X162" i="1"/>
  <c r="Z162" i="1"/>
  <c r="P162" i="1"/>
  <c r="C4" i="3"/>
  <c r="E4" i="3" s="1"/>
  <c r="O227" i="1"/>
  <c r="C5" i="3" s="1"/>
  <c r="E5" i="3" s="1"/>
  <c r="AC96" i="1"/>
  <c r="AC203" i="1"/>
  <c r="S197" i="1"/>
  <c r="S227" i="1" s="1"/>
  <c r="T152" i="1"/>
  <c r="T273" i="1"/>
  <c r="T145" i="1"/>
  <c r="T210" i="1"/>
  <c r="X243" i="1"/>
  <c r="Q210" i="1"/>
  <c r="U88" i="1"/>
  <c r="U210" i="1" s="1"/>
  <c r="T217" i="1"/>
  <c r="T280" i="1"/>
  <c r="AA210" i="1"/>
  <c r="AA145" i="1"/>
  <c r="W152" i="1"/>
  <c r="P182" i="1"/>
  <c r="W273" i="1"/>
  <c r="W210" i="1"/>
  <c r="X139" i="1"/>
  <c r="Q152" i="1"/>
  <c r="X88" i="1"/>
  <c r="X273" i="1" s="1"/>
  <c r="P197" i="1"/>
  <c r="P227" i="1" s="1"/>
  <c r="AA273" i="1"/>
  <c r="AA152" i="1"/>
  <c r="R273" i="1"/>
  <c r="AB273" i="1"/>
  <c r="W280" i="1"/>
  <c r="AA217" i="1"/>
  <c r="Z88" i="1"/>
  <c r="Z273" i="1" s="1"/>
  <c r="AB145" i="1"/>
  <c r="AB210" i="1"/>
  <c r="W217" i="1"/>
  <c r="W145" i="1"/>
  <c r="S88" i="1"/>
  <c r="S210" i="1" s="1"/>
  <c r="Q145" i="1"/>
  <c r="Q273" i="1"/>
  <c r="AC191" i="1"/>
  <c r="AD191" i="1" s="1"/>
  <c r="AD167" i="1" s="1"/>
  <c r="R182" i="1"/>
  <c r="Y210" i="1"/>
  <c r="S266" i="1"/>
  <c r="P307" i="1"/>
  <c r="Y182" i="1"/>
  <c r="Y203" i="1"/>
  <c r="X266" i="1"/>
  <c r="X203" i="1"/>
  <c r="U139" i="1"/>
  <c r="AB139" i="1"/>
  <c r="Y139" i="1"/>
  <c r="AB175" i="1"/>
  <c r="AB240" i="1" s="1"/>
  <c r="AB303" i="1" s="1"/>
  <c r="AC91" i="1"/>
  <c r="U266" i="1"/>
  <c r="S182" i="1"/>
  <c r="AB152" i="1"/>
  <c r="AC99" i="1"/>
  <c r="E3" i="3"/>
  <c r="V217" i="1"/>
  <c r="V266" i="1"/>
  <c r="AC210" i="1"/>
  <c r="Y266" i="1"/>
  <c r="R210" i="1"/>
  <c r="R217" i="1"/>
  <c r="Y273" i="1"/>
  <c r="V280" i="1"/>
  <c r="R266" i="1"/>
  <c r="AC251" i="1"/>
  <c r="AB295" i="1"/>
  <c r="AC307" i="1"/>
  <c r="V182" i="1"/>
  <c r="V307" i="1"/>
  <c r="Y307" i="1"/>
  <c r="V152" i="1"/>
  <c r="F3" i="3"/>
  <c r="V203" i="1"/>
  <c r="E2" i="3"/>
  <c r="Y145" i="1"/>
  <c r="U177" i="1"/>
  <c r="U243" i="1"/>
  <c r="Z255" i="1"/>
  <c r="Z290" i="1" s="1"/>
  <c r="AD253" i="1"/>
  <c r="F2" i="3"/>
  <c r="X307" i="1"/>
  <c r="Q217" i="1"/>
  <c r="X255" i="1"/>
  <c r="S255" i="1"/>
  <c r="S290" i="1" s="1"/>
  <c r="Q280" i="1"/>
  <c r="Q290" i="1"/>
  <c r="R255" i="1"/>
  <c r="R290" i="1" s="1"/>
  <c r="X197" i="1"/>
  <c r="Y197" i="1"/>
  <c r="Y227" i="1" s="1"/>
  <c r="Z197" i="1"/>
  <c r="R227" i="1"/>
  <c r="U307" i="1"/>
  <c r="Q227" i="1"/>
  <c r="Y255" i="1"/>
  <c r="Y290" i="1" s="1"/>
  <c r="AB255" i="1"/>
  <c r="AA280" i="1"/>
  <c r="AA227" i="1"/>
  <c r="AB197" i="1"/>
  <c r="P145" i="1"/>
  <c r="AD273" i="1"/>
  <c r="AC273" i="1"/>
  <c r="V227" i="1"/>
  <c r="V210" i="1"/>
  <c r="P139" i="1"/>
  <c r="U182" i="1"/>
  <c r="AD307" i="1"/>
  <c r="AB243" i="1"/>
  <c r="U203" i="1"/>
  <c r="V139" i="1"/>
  <c r="V145" i="1"/>
  <c r="AC266" i="1"/>
  <c r="AD254" i="1"/>
  <c r="V177" i="1"/>
  <c r="P266" i="1"/>
  <c r="P203" i="1"/>
  <c r="P273" i="1"/>
  <c r="P210" i="1"/>
  <c r="P152" i="1"/>
  <c r="P280" i="1"/>
  <c r="AB307" i="1"/>
  <c r="AC243" i="1"/>
  <c r="AB203" i="1"/>
  <c r="AE194" i="1"/>
  <c r="AE210" i="1" s="1"/>
  <c r="AD210" i="1"/>
  <c r="AD192" i="1"/>
  <c r="AC232" i="1"/>
  <c r="R152" i="1"/>
  <c r="R145" i="1"/>
  <c r="R139" i="1"/>
  <c r="AD106" i="1"/>
  <c r="S243" i="1"/>
  <c r="S203" i="1"/>
  <c r="S177" i="1"/>
  <c r="AF121" i="1"/>
  <c r="AG121" i="1" s="1"/>
  <c r="AH121" i="1" s="1"/>
  <c r="AI121" i="1" s="1"/>
  <c r="AJ121" i="1" s="1"/>
  <c r="AK121" i="1" s="1"/>
  <c r="AL121" i="1" s="1"/>
  <c r="AM121" i="1" s="1"/>
  <c r="Y177" i="1"/>
  <c r="Y152" i="1"/>
  <c r="X177" i="1"/>
  <c r="AD203" i="1"/>
  <c r="AE101" i="1"/>
  <c r="AD243" i="1"/>
  <c r="AD177" i="1"/>
  <c r="X182" i="1"/>
  <c r="S307" i="1"/>
  <c r="AE273" i="1"/>
  <c r="AF84" i="1"/>
  <c r="R307" i="1"/>
  <c r="Z203" i="1"/>
  <c r="Z243" i="1"/>
  <c r="Z307" i="1"/>
  <c r="Z139" i="1"/>
  <c r="Z182" i="1"/>
  <c r="S139" i="1"/>
  <c r="AB182" i="1"/>
  <c r="AC46" i="1"/>
  <c r="R243" i="1" l="1"/>
  <c r="Y217" i="1"/>
  <c r="P217" i="1"/>
  <c r="Z145" i="1"/>
  <c r="Z280" i="1"/>
  <c r="AE191" i="1"/>
  <c r="AE167" i="1" s="1"/>
  <c r="U152" i="1"/>
  <c r="AD99" i="1"/>
  <c r="AD139" i="1" s="1"/>
  <c r="AC162" i="1"/>
  <c r="AD96" i="1"/>
  <c r="AC167" i="1"/>
  <c r="U145" i="1"/>
  <c r="U273" i="1"/>
  <c r="U217" i="1"/>
  <c r="U280" i="1"/>
  <c r="S145" i="1"/>
  <c r="S273" i="1"/>
  <c r="S280" i="1"/>
  <c r="Z152" i="1"/>
  <c r="X217" i="1"/>
  <c r="X145" i="1"/>
  <c r="X152" i="1"/>
  <c r="X280" i="1"/>
  <c r="S152" i="1"/>
  <c r="Z210" i="1"/>
  <c r="S217" i="1"/>
  <c r="X210" i="1"/>
  <c r="R280" i="1"/>
  <c r="AC145" i="1"/>
  <c r="AC139" i="1"/>
  <c r="AC152" i="1"/>
  <c r="AD91" i="1"/>
  <c r="AC175" i="1"/>
  <c r="AC240" i="1" s="1"/>
  <c r="AC303" i="1" s="1"/>
  <c r="X290" i="1"/>
  <c r="Y280" i="1"/>
  <c r="AD251" i="1"/>
  <c r="AC295" i="1"/>
  <c r="AC197" i="1"/>
  <c r="AB217" i="1"/>
  <c r="AB227" i="1"/>
  <c r="AE253" i="1"/>
  <c r="AC255" i="1"/>
  <c r="AB280" i="1"/>
  <c r="AB290" i="1"/>
  <c r="X227" i="1"/>
  <c r="Z227" i="1"/>
  <c r="Z217" i="1"/>
  <c r="AE192" i="1"/>
  <c r="AD232" i="1"/>
  <c r="AE254" i="1"/>
  <c r="AD266" i="1"/>
  <c r="AF194" i="1"/>
  <c r="AF210" i="1" s="1"/>
  <c r="AF101" i="1"/>
  <c r="AE203" i="1"/>
  <c r="AE243" i="1"/>
  <c r="AE177" i="1"/>
  <c r="AE307" i="1"/>
  <c r="AG84" i="1"/>
  <c r="AF273" i="1"/>
  <c r="AE106" i="1"/>
  <c r="AC182" i="1"/>
  <c r="AD46" i="1"/>
  <c r="AF191" i="1" l="1"/>
  <c r="AF167" i="1" s="1"/>
  <c r="AD145" i="1"/>
  <c r="AD152" i="1"/>
  <c r="AE99" i="1"/>
  <c r="AD162" i="1"/>
  <c r="AE96" i="1"/>
  <c r="AE91" i="1"/>
  <c r="AD175" i="1"/>
  <c r="AD240" i="1" s="1"/>
  <c r="AD303" i="1" s="1"/>
  <c r="AG191" i="1"/>
  <c r="AD295" i="1"/>
  <c r="AE251" i="1"/>
  <c r="AD255" i="1"/>
  <c r="AC280" i="1"/>
  <c r="AC290" i="1"/>
  <c r="AF253" i="1"/>
  <c r="AD197" i="1"/>
  <c r="AC227" i="1"/>
  <c r="AC217" i="1"/>
  <c r="AF254" i="1"/>
  <c r="AE266" i="1"/>
  <c r="AG194" i="1"/>
  <c r="AG210" i="1" s="1"/>
  <c r="AF192" i="1"/>
  <c r="AE232" i="1"/>
  <c r="AF203" i="1"/>
  <c r="AG101" i="1"/>
  <c r="AF243" i="1"/>
  <c r="AF177" i="1"/>
  <c r="AF307" i="1"/>
  <c r="AF106" i="1"/>
  <c r="AG273" i="1"/>
  <c r="AH84" i="1"/>
  <c r="AD182" i="1"/>
  <c r="AE46" i="1"/>
  <c r="AE152" i="1" l="1"/>
  <c r="AF99" i="1"/>
  <c r="AE162" i="1"/>
  <c r="AE139" i="1"/>
  <c r="AE145" i="1"/>
  <c r="AF96" i="1"/>
  <c r="AH191" i="1"/>
  <c r="AG167" i="1"/>
  <c r="AE175" i="1"/>
  <c r="AE240" i="1" s="1"/>
  <c r="AE303" i="1" s="1"/>
  <c r="AF91" i="1"/>
  <c r="AE295" i="1"/>
  <c r="AF251" i="1"/>
  <c r="AG253" i="1"/>
  <c r="AE197" i="1"/>
  <c r="AD217" i="1"/>
  <c r="AD227" i="1"/>
  <c r="AE255" i="1"/>
  <c r="AD280" i="1"/>
  <c r="AD290" i="1"/>
  <c r="AH194" i="1"/>
  <c r="AH210" i="1" s="1"/>
  <c r="AG192" i="1"/>
  <c r="AF232" i="1"/>
  <c r="AG254" i="1"/>
  <c r="AF266" i="1"/>
  <c r="AH273" i="1"/>
  <c r="AI84" i="1"/>
  <c r="AG106" i="1"/>
  <c r="AH101" i="1"/>
  <c r="AG203" i="1"/>
  <c r="AG307" i="1"/>
  <c r="AG177" i="1"/>
  <c r="AG243" i="1"/>
  <c r="AE182" i="1"/>
  <c r="AF46" i="1"/>
  <c r="AF152" i="1" l="1"/>
  <c r="AG99" i="1"/>
  <c r="AF162" i="1"/>
  <c r="AF139" i="1"/>
  <c r="AF145" i="1"/>
  <c r="AG96" i="1"/>
  <c r="AG91" i="1"/>
  <c r="AF175" i="1"/>
  <c r="AF240" i="1" s="1"/>
  <c r="AF303" i="1" s="1"/>
  <c r="AI191" i="1"/>
  <c r="AH167" i="1"/>
  <c r="AF295" i="1"/>
  <c r="AG251" i="1"/>
  <c r="AH253" i="1"/>
  <c r="AF197" i="1"/>
  <c r="AE217" i="1"/>
  <c r="AE227" i="1"/>
  <c r="AF255" i="1"/>
  <c r="AE280" i="1"/>
  <c r="AE290" i="1"/>
  <c r="AH192" i="1"/>
  <c r="AG232" i="1"/>
  <c r="AI194" i="1"/>
  <c r="AI210" i="1" s="1"/>
  <c r="AH254" i="1"/>
  <c r="AG266" i="1"/>
  <c r="AH203" i="1"/>
  <c r="AI101" i="1"/>
  <c r="AH307" i="1"/>
  <c r="AH243" i="1"/>
  <c r="AH177" i="1"/>
  <c r="AH106" i="1"/>
  <c r="AI273" i="1"/>
  <c r="AJ84" i="1"/>
  <c r="AF182" i="1"/>
  <c r="AG46" i="1"/>
  <c r="AG152" i="1" l="1"/>
  <c r="AG162" i="1"/>
  <c r="AH99" i="1"/>
  <c r="AG139" i="1"/>
  <c r="AG145" i="1"/>
  <c r="AH96" i="1"/>
  <c r="AI167" i="1"/>
  <c r="AJ191" i="1"/>
  <c r="AH91" i="1"/>
  <c r="AG175" i="1"/>
  <c r="AG240" i="1" s="1"/>
  <c r="AG303" i="1" s="1"/>
  <c r="AH251" i="1"/>
  <c r="AG295" i="1"/>
  <c r="AG197" i="1"/>
  <c r="AF217" i="1"/>
  <c r="AF227" i="1"/>
  <c r="AI253" i="1"/>
  <c r="AG255" i="1"/>
  <c r="AF290" i="1"/>
  <c r="AF280" i="1"/>
  <c r="AJ194" i="1"/>
  <c r="AJ210" i="1" s="1"/>
  <c r="AI192" i="1"/>
  <c r="AH232" i="1"/>
  <c r="AI254" i="1"/>
  <c r="AH266" i="1"/>
  <c r="AK84" i="1"/>
  <c r="AJ273" i="1"/>
  <c r="AJ101" i="1"/>
  <c r="AI203" i="1"/>
  <c r="AI243" i="1"/>
  <c r="AI177" i="1"/>
  <c r="AI307" i="1"/>
  <c r="AI106" i="1"/>
  <c r="AG182" i="1"/>
  <c r="AH46" i="1"/>
  <c r="AH152" i="1" l="1"/>
  <c r="AH162" i="1"/>
  <c r="AI99" i="1"/>
  <c r="AH145" i="1"/>
  <c r="AH139" i="1"/>
  <c r="AI96" i="1"/>
  <c r="AH175" i="1"/>
  <c r="AH240" i="1" s="1"/>
  <c r="AH303" i="1" s="1"/>
  <c r="AI91" i="1"/>
  <c r="AK191" i="1"/>
  <c r="AJ167" i="1"/>
  <c r="AH295" i="1"/>
  <c r="AI251" i="1"/>
  <c r="AJ253" i="1"/>
  <c r="AH255" i="1"/>
  <c r="AG280" i="1"/>
  <c r="AG290" i="1"/>
  <c r="AH197" i="1"/>
  <c r="AG217" i="1"/>
  <c r="AG227" i="1"/>
  <c r="AJ254" i="1"/>
  <c r="AI266" i="1"/>
  <c r="AJ192" i="1"/>
  <c r="AI232" i="1"/>
  <c r="AK194" i="1"/>
  <c r="AK210" i="1" s="1"/>
  <c r="AJ106" i="1"/>
  <c r="AJ203" i="1"/>
  <c r="AK101" i="1"/>
  <c r="AJ243" i="1"/>
  <c r="AJ177" i="1"/>
  <c r="AJ307" i="1"/>
  <c r="AK273" i="1"/>
  <c r="AL84" i="1"/>
  <c r="AH182" i="1"/>
  <c r="AI46" i="1"/>
  <c r="AI152" i="1" l="1"/>
  <c r="AI162" i="1"/>
  <c r="AJ99" i="1"/>
  <c r="AI139" i="1"/>
  <c r="AI145" i="1"/>
  <c r="AJ96" i="1"/>
  <c r="AL191" i="1"/>
  <c r="AK167" i="1"/>
  <c r="AI175" i="1"/>
  <c r="AI240" i="1" s="1"/>
  <c r="AI303" i="1" s="1"/>
  <c r="AJ91" i="1"/>
  <c r="AJ251" i="1"/>
  <c r="AI295" i="1"/>
  <c r="AK253" i="1"/>
  <c r="AI255" i="1"/>
  <c r="AH280" i="1"/>
  <c r="AH290" i="1"/>
  <c r="AI197" i="1"/>
  <c r="AH217" i="1"/>
  <c r="AH227" i="1"/>
  <c r="AK192" i="1"/>
  <c r="AJ232" i="1"/>
  <c r="AL194" i="1"/>
  <c r="AL210" i="1" s="1"/>
  <c r="AK254" i="1"/>
  <c r="AJ266" i="1"/>
  <c r="AL101" i="1"/>
  <c r="AK203" i="1"/>
  <c r="AK243" i="1"/>
  <c r="AK177" i="1"/>
  <c r="AK307" i="1"/>
  <c r="AK106" i="1"/>
  <c r="AM84" i="1"/>
  <c r="AL273" i="1"/>
  <c r="AI182" i="1"/>
  <c r="AJ46" i="1"/>
  <c r="AJ162" i="1" l="1"/>
  <c r="AK99" i="1"/>
  <c r="AJ145" i="1"/>
  <c r="AJ139" i="1"/>
  <c r="AJ152" i="1"/>
  <c r="AK96" i="1"/>
  <c r="AK91" i="1"/>
  <c r="AJ175" i="1"/>
  <c r="AJ240" i="1" s="1"/>
  <c r="AJ303" i="1" s="1"/>
  <c r="AM191" i="1"/>
  <c r="AM167" i="1" s="1"/>
  <c r="AL167" i="1"/>
  <c r="AK251" i="1"/>
  <c r="AJ295" i="1"/>
  <c r="AJ255" i="1"/>
  <c r="AI290" i="1"/>
  <c r="AI280" i="1"/>
  <c r="AJ197" i="1"/>
  <c r="AI217" i="1"/>
  <c r="AI227" i="1"/>
  <c r="AL253" i="1"/>
  <c r="AL254" i="1"/>
  <c r="AK266" i="1"/>
  <c r="AM194" i="1"/>
  <c r="AL192" i="1"/>
  <c r="AK232" i="1"/>
  <c r="AM273" i="1"/>
  <c r="AL106" i="1"/>
  <c r="AL203" i="1"/>
  <c r="AM101" i="1"/>
  <c r="AL243" i="1"/>
  <c r="AL177" i="1"/>
  <c r="AL307" i="1"/>
  <c r="AJ182" i="1"/>
  <c r="AK46" i="1"/>
  <c r="AK152" i="1" l="1"/>
  <c r="AK162" i="1"/>
  <c r="AL99" i="1"/>
  <c r="AK145" i="1"/>
  <c r="AK139" i="1"/>
  <c r="AL96" i="1"/>
  <c r="AL91" i="1"/>
  <c r="AK175" i="1"/>
  <c r="AK240" i="1" s="1"/>
  <c r="AK303" i="1" s="1"/>
  <c r="AK295" i="1"/>
  <c r="AL251" i="1"/>
  <c r="AK197" i="1"/>
  <c r="AJ217" i="1"/>
  <c r="AJ227" i="1"/>
  <c r="AM253" i="1"/>
  <c r="AK255" i="1"/>
  <c r="AJ280" i="1"/>
  <c r="AJ290" i="1"/>
  <c r="AM210" i="1"/>
  <c r="AM192" i="1"/>
  <c r="AM232" i="1" s="1"/>
  <c r="AL232" i="1"/>
  <c r="AM254" i="1"/>
  <c r="AM266" i="1" s="1"/>
  <c r="AL266" i="1"/>
  <c r="AM106" i="1"/>
  <c r="AM203" i="1"/>
  <c r="AM177" i="1"/>
  <c r="AM243" i="1"/>
  <c r="AM307" i="1"/>
  <c r="AK182" i="1"/>
  <c r="AL46" i="1"/>
  <c r="AL152" i="1" l="1"/>
  <c r="AL162" i="1"/>
  <c r="AM99" i="1"/>
  <c r="AL145" i="1"/>
  <c r="AL139" i="1"/>
  <c r="AM96" i="1"/>
  <c r="AL175" i="1"/>
  <c r="AL240" i="1" s="1"/>
  <c r="AL303" i="1" s="1"/>
  <c r="AM91" i="1"/>
  <c r="AM175" i="1" s="1"/>
  <c r="AM240" i="1" s="1"/>
  <c r="AM303" i="1" s="1"/>
  <c r="AL295" i="1"/>
  <c r="AM251" i="1"/>
  <c r="AM295" i="1" s="1"/>
  <c r="AL197" i="1"/>
  <c r="AK217" i="1"/>
  <c r="AK227" i="1"/>
  <c r="AL255" i="1"/>
  <c r="AK280" i="1"/>
  <c r="AK290" i="1"/>
  <c r="AL182" i="1"/>
  <c r="AM46" i="1"/>
  <c r="AM182" i="1" s="1"/>
  <c r="AM152" i="1" l="1"/>
  <c r="AM162" i="1"/>
  <c r="AM139" i="1"/>
  <c r="AM145" i="1"/>
  <c r="AM255" i="1"/>
  <c r="AL280" i="1"/>
  <c r="AL290" i="1"/>
  <c r="AM197" i="1"/>
  <c r="AL217" i="1"/>
  <c r="AL227" i="1"/>
  <c r="AM227" i="1" l="1"/>
  <c r="AM217" i="1"/>
  <c r="AM280" i="1"/>
  <c r="AM290" i="1"/>
  <c r="M110" i="1"/>
  <c r="Q110" i="1" s="1"/>
  <c r="AA110" i="1"/>
  <c r="AB110" i="1" s="1"/>
  <c r="AC110" i="1" s="1"/>
  <c r="AD110" i="1" s="1"/>
  <c r="AE110" i="1" s="1"/>
  <c r="AF110" i="1" s="1"/>
  <c r="AG110" i="1" s="1"/>
  <c r="AH110" i="1" s="1"/>
  <c r="AI110" i="1" s="1"/>
  <c r="AJ110" i="1" s="1"/>
  <c r="AK110" i="1" s="1"/>
  <c r="AL110" i="1" s="1"/>
  <c r="AM110" i="1" s="1"/>
  <c r="W110" i="1" l="1"/>
  <c r="Z110" i="1" s="1"/>
  <c r="S110" i="1"/>
  <c r="R110" i="1"/>
  <c r="T110" i="1"/>
  <c r="X110" i="1"/>
  <c r="O110" i="1"/>
  <c r="P110" i="1" s="1"/>
  <c r="Y110" i="1"/>
  <c r="V110" i="1" l="1"/>
  <c r="U110" i="1"/>
  <c r="M111" i="1"/>
  <c r="Q111" i="1" s="1"/>
  <c r="R111" i="1" l="1"/>
  <c r="S111" i="1"/>
  <c r="W111" i="1"/>
  <c r="AA111" i="1"/>
  <c r="AB111" i="1" s="1"/>
  <c r="AC111" i="1" s="1"/>
  <c r="AD111" i="1" s="1"/>
  <c r="AE111" i="1" s="1"/>
  <c r="AF111" i="1" s="1"/>
  <c r="AG111" i="1" s="1"/>
  <c r="AH111" i="1" s="1"/>
  <c r="AI111" i="1" s="1"/>
  <c r="AJ111" i="1" s="1"/>
  <c r="AK111" i="1" s="1"/>
  <c r="AL111" i="1" s="1"/>
  <c r="AM111" i="1" s="1"/>
  <c r="O111" i="1"/>
  <c r="P111" i="1" s="1"/>
  <c r="T111" i="1"/>
  <c r="V111" i="1" l="1"/>
  <c r="U111" i="1"/>
  <c r="Y111" i="1"/>
  <c r="Z111" i="1"/>
  <c r="X1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Startsev Nikolay</author>
    <author>User</author>
  </authors>
  <commentList>
    <comment ref="H5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цена за метр</t>
        </r>
      </text>
    </comment>
    <comment ref="H11" authorId="0" shapeId="0" xr:uid="{00000000-0006-0000-0000-000002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очень давно не покупали</t>
        </r>
      </text>
    </comment>
    <comment ref="I11" authorId="0" shapeId="0" xr:uid="{00000000-0006-0000-0000-000003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очень давно не покупали</t>
        </r>
      </text>
    </comment>
    <comment ref="N24" authorId="1" shapeId="0" xr:uid="{D02D9195-72D1-4501-9636-80175D9FCC97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русская дверь, (Чешские -25333)</t>
        </r>
      </text>
    </comment>
    <comment ref="H33" authorId="0" shapeId="0" xr:uid="{00000000-0006-0000-0000-000004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цена на модуль - 13 м2 по 370 руб/м2</t>
        </r>
      </text>
    </comment>
    <comment ref="I33" authorId="0" shapeId="0" xr:uid="{00000000-0006-0000-0000-000005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цена на модуль - 13 м2 по 370 руб/м2</t>
        </r>
      </text>
    </comment>
    <comment ref="K33" authorId="0" shapeId="0" xr:uid="{00000000-0006-0000-0000-000006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цена на модуль - 13 м2 по 370 руб/м2</t>
        </r>
      </text>
    </comment>
    <comment ref="L35" authorId="1" shapeId="0" xr:uid="{B97143CE-2AE9-47EC-AB35-19CA50E89895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15000</t>
        </r>
      </text>
    </comment>
    <comment ref="M35" authorId="1" shapeId="0" xr:uid="{7D0F52B6-9451-48BC-8C24-5A118B22F2FD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15000</t>
        </r>
      </text>
    </comment>
    <comment ref="L46" authorId="1" shapeId="0" xr:uid="{8CB99B72-2F1A-4CE4-BD8E-D392C1B065DB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6625</t>
        </r>
      </text>
    </comment>
    <comment ref="M46" authorId="1" shapeId="0" xr:uid="{64301A69-E398-4F89-87B5-71B1855E6F5F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6625</t>
        </r>
      </text>
    </comment>
    <comment ref="L48" authorId="1" shapeId="0" xr:uid="{DC64B0CA-B60E-4AC5-ACE9-A95FA1A0E7B1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21000</t>
        </r>
      </text>
    </comment>
    <comment ref="M48" authorId="1" shapeId="0" xr:uid="{F1F8AEDF-579D-4A22-9498-B0E8F71141B1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21000</t>
        </r>
      </text>
    </comment>
    <comment ref="L49" authorId="1" shapeId="0" xr:uid="{02E758A4-3B9B-439D-9054-5C74F3B91B24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36000</t>
        </r>
      </text>
    </comment>
    <comment ref="M49" authorId="1" shapeId="0" xr:uid="{6173377A-067F-4F49-AA4A-898625978D9C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36000</t>
        </r>
      </text>
    </comment>
    <comment ref="L51" authorId="1" shapeId="0" xr:uid="{F6958F75-96AB-4F06-8789-673E294E843A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20000</t>
        </r>
      </text>
    </comment>
    <comment ref="M51" authorId="1" shapeId="0" xr:uid="{D3DEFDF4-DB1C-42DA-B3F9-C0E2FE8625D1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20000</t>
        </r>
      </text>
    </comment>
    <comment ref="H53" authorId="0" shapeId="0" xr:uid="{00000000-0006-0000-0000-000007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цена на модуль, ламинат 1000 руб./м2</t>
        </r>
      </text>
    </comment>
    <comment ref="I53" authorId="0" shapeId="0" xr:uid="{00000000-0006-0000-0000-000008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цена на модуль, ламинат 1000 руб./м2</t>
        </r>
      </text>
    </comment>
    <comment ref="H62" authorId="0" shapeId="0" xr:uid="{00000000-0006-0000-0000-00000A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последний расчет в 2016 году</t>
        </r>
      </text>
    </comment>
    <comment ref="L91" authorId="1" shapeId="0" xr:uid="{BB2C1CA8-FA8C-4D84-8A3F-93B400D7CA9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8090</t>
        </r>
      </text>
    </comment>
    <comment ref="M91" authorId="1" shapeId="0" xr:uid="{C3BA6209-AB1D-4E4F-AB55-646B695E59C9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8090</t>
        </r>
      </text>
    </comment>
    <comment ref="H95" authorId="0" shapeId="0" xr:uid="{E2550780-B9C7-40F7-989A-120BF09F575B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без оборудования, только мебель</t>
        </r>
      </text>
    </comment>
    <comment ref="L98" authorId="1" shapeId="0" xr:uid="{2BED6EED-B5D6-4ABE-A212-9461E5A32A91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8600</t>
        </r>
      </text>
    </comment>
    <comment ref="M98" authorId="1" shapeId="0" xr:uid="{BF852236-5735-4ED5-A13F-AB518E874887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8600</t>
        </r>
      </text>
    </comment>
    <comment ref="L99" authorId="1" shapeId="0" xr:uid="{6091E73D-51AC-43CE-A5AA-2600F62B6967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10000</t>
        </r>
      </text>
    </comment>
    <comment ref="M99" authorId="1" shapeId="0" xr:uid="{6F801FCB-D02C-412B-8673-B9D6D8B85AB7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10000</t>
        </r>
      </text>
    </comment>
    <comment ref="L100" authorId="1" shapeId="0" xr:uid="{2909CCE3-DE56-48C4-A114-D32DE61D7DB4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7000
</t>
        </r>
      </text>
    </comment>
    <comment ref="M100" authorId="1" shapeId="0" xr:uid="{78CE9A2D-2102-4391-AE50-F4DBA2CBA199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7000
</t>
        </r>
      </text>
    </comment>
    <comment ref="L101" authorId="1" shapeId="0" xr:uid="{575F9576-ABE7-4A27-89AB-8AFF6EBA27A7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1500</t>
        </r>
      </text>
    </comment>
    <comment ref="M101" authorId="1" shapeId="0" xr:uid="{232C91BF-99C7-4B6A-9C67-64FC3BE0A8DE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1500</t>
        </r>
      </text>
    </comment>
    <comment ref="N107" authorId="1" shapeId="0" xr:uid="{098161D1-547C-496B-9D91-5685D2FF696C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сборки + сборка 1000 руб</t>
        </r>
      </text>
    </comment>
    <comment ref="L108" authorId="1" shapeId="0" xr:uid="{7F3B8EF7-DB06-43DA-9574-D19428E22958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15000</t>
        </r>
      </text>
    </comment>
    <comment ref="M108" authorId="1" shapeId="0" xr:uid="{E2EF21D1-A793-4289-B19C-FC619640C49E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15000</t>
        </r>
      </text>
    </comment>
    <comment ref="N108" authorId="1" shapeId="0" xr:uid="{05942E5E-4034-4057-B9A6-304BA98614AA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+ сборка 1000р</t>
        </r>
      </text>
    </comment>
    <comment ref="N109" authorId="1" shapeId="0" xr:uid="{B77CD185-3315-4ED5-BE60-F888C8F40FE6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+ сборка 1000р
</t>
        </r>
      </text>
    </comment>
    <comment ref="H116" authorId="0" shapeId="0" xr:uid="{00000000-0006-0000-0000-00000B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по предварительному расчету 2018 года</t>
        </r>
      </text>
    </comment>
    <comment ref="H191" authorId="0" shapeId="0" xr:uid="{00000000-0006-0000-0000-000009000000}">
      <text>
        <r>
          <rPr>
            <b/>
            <sz val="9"/>
            <color indexed="81"/>
            <rFont val="Tahoma"/>
            <charset val="1"/>
          </rPr>
          <t>Startsev Nikolay:</t>
        </r>
        <r>
          <rPr>
            <sz val="9"/>
            <color indexed="81"/>
            <rFont val="Tahoma"/>
            <charset val="1"/>
          </rPr>
          <t xml:space="preserve">
без оборудования, только мебель</t>
        </r>
      </text>
    </comment>
    <comment ref="L250" authorId="1" shapeId="0" xr:uid="{7B9BFE86-F0A7-4F72-AC20-5F79D8E066AB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12625</t>
        </r>
      </text>
    </comment>
    <comment ref="M250" authorId="1" shapeId="0" xr:uid="{23107894-D072-4FE9-A3EB-A3E592E600C6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12625</t>
        </r>
      </text>
    </comment>
  </commentList>
</comments>
</file>

<file path=xl/sharedStrings.xml><?xml version="1.0" encoding="utf-8"?>
<sst xmlns="http://schemas.openxmlformats.org/spreadsheetml/2006/main" count="828" uniqueCount="353">
  <si>
    <t>Административные услуги (комендант стройплощадки)</t>
  </si>
  <si>
    <t>Fleet Other: Equipment for Rent</t>
  </si>
  <si>
    <t xml:space="preserve">Аппарат высокого давления </t>
  </si>
  <si>
    <t>High pressure apparatus</t>
  </si>
  <si>
    <t>Аттик</t>
  </si>
  <si>
    <t>Finish the top perimeter of the modules</t>
  </si>
  <si>
    <t>Бак для воды 5м3</t>
  </si>
  <si>
    <t>Балкон</t>
  </si>
  <si>
    <t>Balcony</t>
  </si>
  <si>
    <t>Блок ФБС</t>
  </si>
  <si>
    <t>Concrete block</t>
  </si>
  <si>
    <t>Вентиляция</t>
  </si>
  <si>
    <t>Вешалка напольная</t>
  </si>
  <si>
    <t>Fleet Other: Furniture for Rent</t>
  </si>
  <si>
    <t>Floor-standing hanger</t>
  </si>
  <si>
    <t>Видеонаблюдение</t>
  </si>
  <si>
    <t>Security system with CCTV</t>
  </si>
  <si>
    <t>Витражное остекление AX1 панель 1160 глухая</t>
  </si>
  <si>
    <t>Витражное остекление AX1 панель 1160 с дверью</t>
  </si>
  <si>
    <t>Витражное остекление AX1 торцевая панель глухая</t>
  </si>
  <si>
    <t>Витражное остекление AX1 торцевая панель с дверью</t>
  </si>
  <si>
    <t>Витражное остекление IN26 панель 1065 глухая</t>
  </si>
  <si>
    <t>Витражное остекление IN26 панель 1065 с дверью</t>
  </si>
  <si>
    <t>Витражное остекление IN26 панель 1461 глухая</t>
  </si>
  <si>
    <t>Витражное остекление IN26 панель 1461 с дверью</t>
  </si>
  <si>
    <t>Витражное остекление IN26 торцевая панель 2175 глухая</t>
  </si>
  <si>
    <t>Витражное остекление IN26 торцевая панель 2175 с дверью</t>
  </si>
  <si>
    <t>Водонагреватель накопительный</t>
  </si>
  <si>
    <t>Water heater savings</t>
  </si>
  <si>
    <t>Водонагреватель напольный</t>
  </si>
  <si>
    <t>Water heater outdoor</t>
  </si>
  <si>
    <t>Ворота с калиткой</t>
  </si>
  <si>
    <t>Gates with door</t>
  </si>
  <si>
    <t>Дверь противопожарная</t>
  </si>
  <si>
    <t>Длинная рампа / пандус</t>
  </si>
  <si>
    <t>Long Ramp</t>
  </si>
  <si>
    <t>ДЭС (дизель-генератор)</t>
  </si>
  <si>
    <t>Generator</t>
  </si>
  <si>
    <t>Емкость для воды</t>
  </si>
  <si>
    <t>The water tank</t>
  </si>
  <si>
    <t>Жалюзи оконные</t>
  </si>
  <si>
    <t>Horizontal jalousie</t>
  </si>
  <si>
    <t>Зеркало</t>
  </si>
  <si>
    <t>Mirror</t>
  </si>
  <si>
    <t>Клининг</t>
  </si>
  <si>
    <t>Cleaning services</t>
  </si>
  <si>
    <t>Ковровое покрытие</t>
  </si>
  <si>
    <t>Carpet</t>
  </si>
  <si>
    <t>Козырек узкий</t>
  </si>
  <si>
    <t>Screen narrow</t>
  </si>
  <si>
    <t>Козырек широкий</t>
  </si>
  <si>
    <t>Screen wide</t>
  </si>
  <si>
    <t>Air Cond. S07</t>
  </si>
  <si>
    <t>Air Cond. S09</t>
  </si>
  <si>
    <t>Air Cond. S12</t>
  </si>
  <si>
    <t>Air Cond. S18</t>
  </si>
  <si>
    <t>Air Cond. S24</t>
  </si>
  <si>
    <t>Кондиционер мобильный S12</t>
  </si>
  <si>
    <t>Кондиционер мобильный S7</t>
  </si>
  <si>
    <t>Контейнер 20</t>
  </si>
  <si>
    <t>Storage</t>
  </si>
  <si>
    <t>Контейнер 40</t>
  </si>
  <si>
    <t>Контур заземления</t>
  </si>
  <si>
    <t>Office armchair</t>
  </si>
  <si>
    <t xml:space="preserve">Кровать металлическая двухъярусная </t>
  </si>
  <si>
    <t>Крыльцо деревянное</t>
  </si>
  <si>
    <t>Porch wide</t>
  </si>
  <si>
    <t>Крыльцо узкое металлическое</t>
  </si>
  <si>
    <t>Porch narrow</t>
  </si>
  <si>
    <t>Крыльцо широкое</t>
  </si>
  <si>
    <t>Крыша разборная max</t>
  </si>
  <si>
    <t>Roof max</t>
  </si>
  <si>
    <t>Крыша разборная min</t>
  </si>
  <si>
    <t>Roof min</t>
  </si>
  <si>
    <t>Кушетка</t>
  </si>
  <si>
    <t>Ламинат</t>
  </si>
  <si>
    <t>Лестница (пожарная) со второго этажа</t>
  </si>
  <si>
    <t>Fire escape staircase 2</t>
  </si>
  <si>
    <t>Лестница пожарная для 3-этажного здания (для подъема/спуска)</t>
  </si>
  <si>
    <t>Fire emergency stairs 3</t>
  </si>
  <si>
    <t>Мoдульное здание, производство Чехия</t>
  </si>
  <si>
    <t>Goods for Sale</t>
  </si>
  <si>
    <t>Менеджер проекта</t>
  </si>
  <si>
    <t>Project manager</t>
  </si>
  <si>
    <t>Микроволновая печь</t>
  </si>
  <si>
    <t>Microwave oven</t>
  </si>
  <si>
    <t>Mini-kitchen</t>
  </si>
  <si>
    <t xml:space="preserve">Мобильная пластиковая кабина для постов охраны </t>
  </si>
  <si>
    <t>Cabin 1515</t>
  </si>
  <si>
    <t>Мобильная туалетная кабина</t>
  </si>
  <si>
    <t>Мобильное ограждение (забор)</t>
  </si>
  <si>
    <t>Fence</t>
  </si>
  <si>
    <t>Насосная станция 10м3</t>
  </si>
  <si>
    <t>Pump Station</t>
  </si>
  <si>
    <t>Насосная станция 5м3</t>
  </si>
  <si>
    <t>Насосная станция 8м3</t>
  </si>
  <si>
    <t>Огнетушитель</t>
  </si>
  <si>
    <t>Extinguishers &amp; fire protection</t>
  </si>
  <si>
    <t>Окно КПП</t>
  </si>
  <si>
    <t>Опора мобильного ограждения</t>
  </si>
  <si>
    <t>Организация питания (кейтеринг)</t>
  </si>
  <si>
    <t>Catering</t>
  </si>
  <si>
    <t>Освещение строительной площадки</t>
  </si>
  <si>
    <t>Cleaning</t>
  </si>
  <si>
    <t>Откачка баков</t>
  </si>
  <si>
    <t xml:space="preserve">Охранная сигнализация </t>
  </si>
  <si>
    <t>Очистная установка "Каскад Мини"</t>
  </si>
  <si>
    <t>Пандус</t>
  </si>
  <si>
    <t>Ramp</t>
  </si>
  <si>
    <t>Перегородка внутренняя</t>
  </si>
  <si>
    <t>Площадка 1 х 1 м</t>
  </si>
  <si>
    <t>Entrance platform narrow</t>
  </si>
  <si>
    <t>Площадка 1 х 2 м</t>
  </si>
  <si>
    <t>Entrance platform wide</t>
  </si>
  <si>
    <t xml:space="preserve">Подставка под фекальный бак </t>
  </si>
  <si>
    <t>Stand for fecal tank</t>
  </si>
  <si>
    <t xml:space="preserve">Пожарная сигнализация </t>
  </si>
  <si>
    <t>Пожарная сигнализация (ежемес. обслуживание)</t>
  </si>
  <si>
    <t>Пост охраны / КПП</t>
  </si>
  <si>
    <t>ППР</t>
  </si>
  <si>
    <t>Пункт весового обслуживания</t>
  </si>
  <si>
    <t>Система допуска по магнитным картам</t>
  </si>
  <si>
    <t>Скамья</t>
  </si>
  <si>
    <t>Bench</t>
  </si>
  <si>
    <t>Скамья с вешалками 1500х380х1680 мм</t>
  </si>
  <si>
    <t>СКС</t>
  </si>
  <si>
    <t>СКС (ежемес. обслуживание)</t>
  </si>
  <si>
    <t>Стеллаж сборный 2000х1000х400 мм</t>
  </si>
  <si>
    <t>Assembly shelves</t>
  </si>
  <si>
    <t>Стена противопожарная</t>
  </si>
  <si>
    <t>Стойка ресепшн</t>
  </si>
  <si>
    <t>Стойка сушильная для обуви</t>
  </si>
  <si>
    <t>Table 120 x 60 hazel</t>
  </si>
  <si>
    <t>Table 160 x 80 grey</t>
  </si>
  <si>
    <t>Table 80 x 80 grey</t>
  </si>
  <si>
    <t>ISO chair (black frame)</t>
  </si>
  <si>
    <t>Стяжка мобильного ограждения</t>
  </si>
  <si>
    <t>Сушилка для рук</t>
  </si>
  <si>
    <t>Hands dryer</t>
  </si>
  <si>
    <t>Теплый пол</t>
  </si>
  <si>
    <t>Underfloor heating</t>
  </si>
  <si>
    <t>Товары для продажи</t>
  </si>
  <si>
    <t>Mobile drawer unit with central lock</t>
  </si>
  <si>
    <t>Турникет</t>
  </si>
  <si>
    <t>Turnstile</t>
  </si>
  <si>
    <t>Услуги по заявкам</t>
  </si>
  <si>
    <t xml:space="preserve">Устройство водоснабжения/водоотведения </t>
  </si>
  <si>
    <t>Фекальный бак 10м3</t>
  </si>
  <si>
    <t>Tanks</t>
  </si>
  <si>
    <t>Фекальный бак 3м3</t>
  </si>
  <si>
    <t>Фекальный бак 5м3</t>
  </si>
  <si>
    <t>Флагшток алюминиевый, 9м</t>
  </si>
  <si>
    <t>Flagstick alum.</t>
  </si>
  <si>
    <t>Холодильник</t>
  </si>
  <si>
    <t>Refrigerator</t>
  </si>
  <si>
    <t>Two-leaved wardrobe for documents and wear</t>
  </si>
  <si>
    <t>Filing cabinet</t>
  </si>
  <si>
    <t>Шкаф офисный для документов и одежды</t>
  </si>
  <si>
    <t>Office wardrobe for documents and wear</t>
  </si>
  <si>
    <t>Drying cupboard</t>
  </si>
  <si>
    <t>Шлагбаум</t>
  </si>
  <si>
    <t>Auto barrier</t>
  </si>
  <si>
    <t>Щит информационный</t>
  </si>
  <si>
    <t>Billboard</t>
  </si>
  <si>
    <t>Щит металлический (пожарный)  (включая установку)</t>
  </si>
  <si>
    <t>Электрощит</t>
  </si>
  <si>
    <t>Fleet Other: 360 service</t>
  </si>
  <si>
    <t>Прочее</t>
  </si>
  <si>
    <t>Оборудование</t>
  </si>
  <si>
    <t>Мебель</t>
  </si>
  <si>
    <t>Модуль</t>
  </si>
  <si>
    <t>VAPS</t>
  </si>
  <si>
    <t>Код</t>
  </si>
  <si>
    <t>Наименование</t>
  </si>
  <si>
    <t>Тип модуля</t>
  </si>
  <si>
    <t>Категория модуля</t>
  </si>
  <si>
    <t>Тип объекта</t>
  </si>
  <si>
    <t>X</t>
  </si>
  <si>
    <t>project</t>
  </si>
  <si>
    <t>&gt;24</t>
  </si>
  <si>
    <t>Purchase Price</t>
  </si>
  <si>
    <t>Тамбур - Перегородка в АХ1</t>
  </si>
  <si>
    <t>Package</t>
  </si>
  <si>
    <t>only as part of package</t>
  </si>
  <si>
    <t>Корзина для мусора</t>
  </si>
  <si>
    <t>Доска магнитно-маркерная 60x90 см</t>
  </si>
  <si>
    <t>Обогреватель 2.5кв</t>
  </si>
  <si>
    <t>T3 - Офис для сотрудника</t>
  </si>
  <si>
    <t>T3 - Переговорная (10 человек)</t>
  </si>
  <si>
    <t>Набор маркеров для доски</t>
  </si>
  <si>
    <t>T3 - Офис для руководителя</t>
  </si>
  <si>
    <t>Т3 - кухня база CZ</t>
  </si>
  <si>
    <t>T3 - набор принадлежностей для санитарного модуля</t>
  </si>
  <si>
    <t>жидкое мыло</t>
  </si>
  <si>
    <t xml:space="preserve">пакеты для мусора </t>
  </si>
  <si>
    <t>туалетная бумага</t>
  </si>
  <si>
    <t>бумажные полотенца</t>
  </si>
  <si>
    <t>T3 - набор для складского модуля</t>
  </si>
  <si>
    <t>1л</t>
  </si>
  <si>
    <t>12шт</t>
  </si>
  <si>
    <t>3шт</t>
  </si>
  <si>
    <t>1шт</t>
  </si>
  <si>
    <t>T3 - Раздевалка</t>
  </si>
  <si>
    <t>T3 - Столовая</t>
  </si>
  <si>
    <t>T3 - Кресло офисное</t>
  </si>
  <si>
    <t>T3- Стол 120 х 60 см</t>
  </si>
  <si>
    <t>T3 - Стол 160 х 80 см</t>
  </si>
  <si>
    <t>T3 - Стол 80 х 80 см</t>
  </si>
  <si>
    <t>T3 - Тумба металлическая, центральный замок</t>
  </si>
  <si>
    <t>T3 - Шкаф д/одежды двухстворчатый 1750х800х500 мм</t>
  </si>
  <si>
    <t>T3 - Шкаф офисный для документов 1860*850*500</t>
  </si>
  <si>
    <t>T3 - Шкаф офисный для документов и одежды</t>
  </si>
  <si>
    <t>#</t>
  </si>
  <si>
    <t xml:space="preserve">Тип оборудования </t>
  </si>
  <si>
    <t>Описание</t>
  </si>
  <si>
    <t>Изображение</t>
  </si>
  <si>
    <t xml:space="preserve">Закупка без НДС , Руб. </t>
  </si>
  <si>
    <t>Поставщик</t>
  </si>
  <si>
    <t>Стул на металлокаркасе, спинка и сиденье кожезаменитель</t>
  </si>
  <si>
    <t>ЭйБиСи Проджект</t>
  </si>
  <si>
    <t>Кресло офисное Ziko, кожезаменитель</t>
  </si>
  <si>
    <t>Шкаф для документов, 2-створчатый, размер (ВхШхГ):1860х910х450</t>
  </si>
  <si>
    <t>Оптимех (Вологда)</t>
  </si>
  <si>
    <t>Шкаф для документов и одежды, 2створчатый, размер: 1860х910х450</t>
  </si>
  <si>
    <t>Тумба, центральный замок, 630х450х500</t>
  </si>
  <si>
    <t xml:space="preserve">Металлическая вертикальная вешалка </t>
  </si>
  <si>
    <t>Оптимех</t>
  </si>
  <si>
    <t>Шкаф для одежды, 2 створчатый, 2 замка, 1750х800х500</t>
  </si>
  <si>
    <t>Кровать металлическая, 2 -ярусная,с ограждениями, 1964х800х570</t>
  </si>
  <si>
    <t>Гардеробная скамейка с вешалками на металлокаркасе, 1500х380х1680 мм</t>
  </si>
  <si>
    <t>1500х350х480 мм</t>
  </si>
  <si>
    <t>Сборный стеллаж 5 полок, 2000х1000х400</t>
  </si>
  <si>
    <t xml:space="preserve">Стол с прямоугольной столешницей, серый, 750х1600х800 </t>
  </si>
  <si>
    <t>Стол с прямоугольной столешницей, серый, 750х1200х600</t>
  </si>
  <si>
    <t>Стол с прямоугольной столешницей, серый, 750х800х800</t>
  </si>
  <si>
    <t>Мини-кухня 
СВЧ-печь,раковина,смеситель,варочная панель,мини-холодильник
2000х1030х620</t>
  </si>
  <si>
    <t>Гарантия</t>
  </si>
  <si>
    <t>Холодильник, V=120l
850х600х620
V=120л (105+14)
Уровень шума:   42 дБ</t>
  </si>
  <si>
    <t>Комус</t>
  </si>
  <si>
    <t xml:space="preserve">Шкаф сушильный,
возможность присоединения вытяжной вентиляции, 2000W
съемные полки
таймер 4 часов
питание 220 V
1810х800х510
</t>
  </si>
  <si>
    <t>оптимех</t>
  </si>
  <si>
    <t>T3 - Стол 120 х 60 см</t>
  </si>
  <si>
    <t>T3 - Стул ИЗО (черная рама)</t>
  </si>
  <si>
    <t>T2 - Столовая</t>
  </si>
  <si>
    <t>T2 - Стол 160 х 80 см</t>
  </si>
  <si>
    <t>T2 - Переговорная (10 человек)</t>
  </si>
  <si>
    <t>T2 - Офис для руководителя</t>
  </si>
  <si>
    <t>T2 - Стол 120 х 60 см</t>
  </si>
  <si>
    <t>T2 - Шкаф офисный для документов и одежды</t>
  </si>
  <si>
    <t>T2 - Офис для сотрудника</t>
  </si>
  <si>
    <t>T2 - набор принадлежностей для санитарного модуля</t>
  </si>
  <si>
    <t>эл оборудование (свет и розетка)</t>
  </si>
  <si>
    <t>T1 - Столовая</t>
  </si>
  <si>
    <t>T1 - Стол 160 х 80 см</t>
  </si>
  <si>
    <t>T1 - Переговорная (10 человек)</t>
  </si>
  <si>
    <t>T1 - Офис для руководителя</t>
  </si>
  <si>
    <t>T1 - Кресло офисное</t>
  </si>
  <si>
    <t>T1 - Шкаф офисный для документов и одежды</t>
  </si>
  <si>
    <t>T1 - Офис для сотрудника</t>
  </si>
  <si>
    <t>Т1 - Кухня</t>
  </si>
  <si>
    <t>замок</t>
  </si>
  <si>
    <t>T2 - Мини-кухня</t>
  </si>
  <si>
    <t>T2 - Стол 80 х 80 см</t>
  </si>
  <si>
    <t>Кухня база CZ</t>
  </si>
  <si>
    <t>Algeco</t>
  </si>
  <si>
    <t>TIER 3 Economy - металическая мебель</t>
  </si>
  <si>
    <t>T2 - Стул ИЗО (хром)</t>
  </si>
  <si>
    <t>T1 - Холодильник (большой)</t>
  </si>
  <si>
    <t>TIER 3 - Premium - Аккорд (вишня, беж)</t>
  </si>
  <si>
    <t>TIER 2 - Comfort - Лидер (береза)</t>
  </si>
  <si>
    <t>T1 - Стол круглый D120 см</t>
  </si>
  <si>
    <t>T1 - Стол 120 х 80 см</t>
  </si>
  <si>
    <t>Дэфо</t>
  </si>
  <si>
    <t>Стул на хромированном металлокаркасе, спинка и сиденье такань</t>
  </si>
  <si>
    <t>Кресло офисное, кожезаменитель</t>
  </si>
  <si>
    <t>117х67х73,2, столешница ДСП цвет берёза, металлокаркас</t>
  </si>
  <si>
    <t>158х78х73,2, столешница ДСП цвет берёза, металлокаркас</t>
  </si>
  <si>
    <t>78х78х73,2, столешница ДСП цвет берёза, металлокаркас</t>
  </si>
  <si>
    <t>Стол 80х80 см</t>
  </si>
  <si>
    <t>Тумба ДСП, подкатная, цвет береза</t>
  </si>
  <si>
    <t>ИКЕА</t>
  </si>
  <si>
    <t>60х30х60 см</t>
  </si>
  <si>
    <t>Logo new, материал экокожа</t>
  </si>
  <si>
    <t>Стол ДСП 160х80х73,5 см, солешница цвет вишня, опоры цвет золотой песок</t>
  </si>
  <si>
    <t>3 ящика, верхний запирающийся, 401х50х56 см</t>
  </si>
  <si>
    <t>Liebherr</t>
  </si>
  <si>
    <t>Двухуровневый, распашные дверцы, 90х43х82</t>
  </si>
  <si>
    <t>1982х45х90</t>
  </si>
  <si>
    <t>Atlant Ultra</t>
  </si>
  <si>
    <t>Конференц стол ДСП 25 мм 220х95. Арт. 7#53178</t>
  </si>
  <si>
    <t>Lider standart, Арт. 7#87744</t>
  </si>
  <si>
    <t>T1 - Конференц-стол</t>
  </si>
  <si>
    <t>Столешница цвет вишня, опоры ДСП цвет вишня, диаметр 120 см</t>
  </si>
  <si>
    <t>Т3</t>
  </si>
  <si>
    <t>Т2</t>
  </si>
  <si>
    <t>Т1</t>
  </si>
  <si>
    <t>Столовая</t>
  </si>
  <si>
    <t>Переговорная</t>
  </si>
  <si>
    <t>Офис руководителя</t>
  </si>
  <si>
    <t>Офис сотрудника</t>
  </si>
  <si>
    <t>Стол ДСП 120х80х73,5 см, солешница цвет вишня, опоры цвет золотой песок</t>
  </si>
  <si>
    <t>Т3- Стул ИЗО (черная рама)</t>
  </si>
  <si>
    <t>Т3-Стул ИЗО (черная рама)</t>
  </si>
  <si>
    <t>2 шкафа навесных (40х60 см), 2 напольных шкафа (60х60 см) с раковиной, варочная панель, СВЧ, холодильник</t>
  </si>
  <si>
    <t>T1 - набор принадлежностей для санитарного модуля</t>
  </si>
  <si>
    <t>Т2 - Навесной шкаф для посуды</t>
  </si>
  <si>
    <t>T2 - Тумба ДСП</t>
  </si>
  <si>
    <t>T1 - Шкаф д/одежды двухстворчатый</t>
  </si>
  <si>
    <t>T1 - Шкаф офисный для документов</t>
  </si>
  <si>
    <t>T2 - Шкаф офисный для документов</t>
  </si>
  <si>
    <t>T1 - Тумба ДСП</t>
  </si>
  <si>
    <t>T2 - Раздевалка</t>
  </si>
  <si>
    <t>T1 - Раздевалка</t>
  </si>
  <si>
    <t>T2 - набор для складского модуля</t>
  </si>
  <si>
    <t>T1 - набор для складского модуля</t>
  </si>
  <si>
    <t>Контейнер для мусора, 8м3</t>
  </si>
  <si>
    <t>T3 - Пакет мебели для проживания</t>
  </si>
  <si>
    <t xml:space="preserve">Мультимедийный видеопроектор </t>
  </si>
  <si>
    <t>Проекционный экран для видеопроектора</t>
  </si>
  <si>
    <t>Жалюзи горизонтальные алюминиевые</t>
  </si>
  <si>
    <t>Purchase price</t>
  </si>
  <si>
    <t>Base Price list</t>
  </si>
  <si>
    <t>мини кухня с эл. плитой, раковиной, холодильником</t>
  </si>
  <si>
    <t>T2 - Шкаф архивный низкий</t>
  </si>
  <si>
    <t>мини кухня с эл. плитой, раковиной, холодильником, СВЧ</t>
  </si>
  <si>
    <t>T1 - Шкаф архивный низкий</t>
  </si>
  <si>
    <t>T3 - Шкаф-купе архивный низкий</t>
  </si>
  <si>
    <t>Опорная пластина - комплект</t>
  </si>
  <si>
    <t>2021 (OCT)</t>
  </si>
  <si>
    <t>2021 (Apr)</t>
  </si>
  <si>
    <t>UPDATE</t>
  </si>
  <si>
    <t>2024 January</t>
  </si>
  <si>
    <t>T1 - Кухня (Премиум)</t>
  </si>
  <si>
    <t>T3 - Мини-кухня (Комфорт)</t>
  </si>
  <si>
    <t>2023 January</t>
  </si>
  <si>
    <t>Дорожная плита  (Плита аэродромная
ПАГ-18 ГОСТ)</t>
  </si>
  <si>
    <t>Цена без НДС</t>
  </si>
  <si>
    <t>за изделие</t>
  </si>
  <si>
    <t>Завеса тепловая электрическая (Мощность: 3 кВт Max высота проема: 2500 мм, Max ширина проема: 800 мм)</t>
  </si>
  <si>
    <t>Кондиционер S07 BALLU Серия i Green Pro</t>
  </si>
  <si>
    <t>Кондиционер S09 BALLU Серия i Green Pro</t>
  </si>
  <si>
    <t>Кондиционер S12 BALLU Серия i Green Pro</t>
  </si>
  <si>
    <t>Кондиционер S18 BALLU Серия i Green Pro</t>
  </si>
  <si>
    <t>Кондиционер S24 BALLU Серия i Green Pro</t>
  </si>
  <si>
    <t>Кондиционер мобильный S12 BALLU Серия Aura</t>
  </si>
  <si>
    <t>Кондиционер мобильный S7 BALLU Серия Aura</t>
  </si>
  <si>
    <t>?</t>
  </si>
  <si>
    <t>не заказывали</t>
  </si>
  <si>
    <t>Шкаф сушильный ШС Ветерок 1940</t>
  </si>
  <si>
    <t>Т1 Конференц стол на 12 человек</t>
  </si>
  <si>
    <t>Т1 Конференц стол на 25 человек</t>
  </si>
  <si>
    <t>T3 - Шкаф для документов односекционный</t>
  </si>
  <si>
    <t>T3 - Шкаф для одежды односекционный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</si>
</sst>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00000000"/>
    <numFmt numFmtId="166" formatCode="_(* #,##0_);_(* \(#,##0\);_(* &quot;-&quot;??_);_(@_)"/>
    <numFmt numFmtId="167" formatCode="#,##0.00\ [$₽-419]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name val="Arial"/>
      <family val="2"/>
    </font>
    <font>
      <i/>
      <sz val="8"/>
      <color indexed="8"/>
      <name val="Arial"/>
      <family val="2"/>
    </font>
    <font>
      <b/>
      <i/>
      <sz val="8"/>
      <color rgb="FF0000FF"/>
      <name val="Arial"/>
      <family val="2"/>
      <charset val="204"/>
    </font>
    <font>
      <b/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8"/>
      <color indexed="59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b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8"/>
      <color theme="1"/>
      <name val="Arial"/>
      <family val="2"/>
    </font>
    <font>
      <sz val="1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2"/>
      <color theme="9" tint="-0.249977111117893"/>
      <name val="Calibri"/>
      <family val="2"/>
      <scheme val="minor"/>
    </font>
    <font>
      <i/>
      <sz val="8"/>
      <color indexed="8"/>
      <name val="Arial"/>
      <family val="2"/>
      <charset val="204"/>
    </font>
    <font>
      <i/>
      <sz val="8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Calibri"/>
      <family val="2"/>
      <scheme val="minor"/>
    </font>
    <font>
      <b/>
      <i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sz val="8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2" fillId="0" borderId="0"/>
    <xf numFmtId="164" fontId="6" fillId="0" borderId="0" applyFont="0" applyFill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0" fontId="19" fillId="11" borderId="0" applyNumberFormat="0" applyBorder="0" applyAlignment="0" applyProtection="0"/>
    <xf numFmtId="0" fontId="21" fillId="0" borderId="0"/>
    <xf numFmtId="0" fontId="22" fillId="0" borderId="0"/>
  </cellStyleXfs>
  <cellXfs count="182">
    <xf numFmtId="0" fontId="0" fillId="0" borderId="0" xfId="0"/>
    <xf numFmtId="165" fontId="3" fillId="2" borderId="1" xfId="1" applyNumberFormat="1" applyFont="1" applyFill="1" applyBorder="1" applyAlignment="1">
      <alignment horizontal="left" vertical="top"/>
    </xf>
    <xf numFmtId="0" fontId="3" fillId="2" borderId="1" xfId="1" applyNumberFormat="1" applyFont="1" applyFill="1" applyBorder="1" applyAlignment="1">
      <alignment horizontal="left" vertical="top"/>
    </xf>
    <xf numFmtId="0" fontId="2" fillId="0" borderId="0" xfId="1"/>
    <xf numFmtId="0" fontId="4" fillId="2" borderId="1" xfId="1" applyNumberFormat="1" applyFont="1" applyFill="1" applyBorder="1" applyAlignment="1">
      <alignment horizontal="left" vertical="top"/>
    </xf>
    <xf numFmtId="0" fontId="0" fillId="0" borderId="0" xfId="0" applyFill="1"/>
    <xf numFmtId="0" fontId="5" fillId="0" borderId="0" xfId="1" applyNumberFormat="1" applyFont="1" applyFill="1" applyBorder="1" applyAlignment="1">
      <alignment horizontal="center" vertical="top" wrapText="1"/>
    </xf>
    <xf numFmtId="165" fontId="3" fillId="3" borderId="1" xfId="1" applyNumberFormat="1" applyFont="1" applyFill="1" applyBorder="1" applyAlignment="1">
      <alignment horizontal="left" vertical="top"/>
    </xf>
    <xf numFmtId="0" fontId="3" fillId="3" borderId="1" xfId="1" applyNumberFormat="1" applyFont="1" applyFill="1" applyBorder="1" applyAlignment="1">
      <alignment horizontal="left" vertical="top"/>
    </xf>
    <xf numFmtId="165" fontId="2" fillId="4" borderId="1" xfId="1" applyNumberFormat="1" applyFont="1" applyFill="1" applyBorder="1" applyAlignment="1">
      <alignment horizontal="left" vertical="top"/>
    </xf>
    <xf numFmtId="165" fontId="3" fillId="4" borderId="1" xfId="1" applyNumberFormat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left" vertical="top"/>
    </xf>
    <xf numFmtId="0" fontId="3" fillId="0" borderId="1" xfId="1" applyNumberFormat="1" applyFont="1" applyFill="1" applyBorder="1" applyAlignment="1">
      <alignment horizontal="left" vertical="top"/>
    </xf>
    <xf numFmtId="0" fontId="11" fillId="5" borderId="2" xfId="0" applyFont="1" applyFill="1" applyBorder="1" applyAlignment="1">
      <alignment horizontal="center"/>
    </xf>
    <xf numFmtId="166" fontId="9" fillId="0" borderId="2" xfId="2" applyNumberFormat="1" applyFont="1" applyBorder="1"/>
    <xf numFmtId="0" fontId="7" fillId="0" borderId="0" xfId="0" applyFont="1"/>
    <xf numFmtId="166" fontId="11" fillId="0" borderId="2" xfId="2" applyNumberFormat="1" applyFont="1" applyBorder="1"/>
    <xf numFmtId="166" fontId="10" fillId="0" borderId="2" xfId="2" applyNumberFormat="1" applyFont="1" applyBorder="1"/>
    <xf numFmtId="166" fontId="8" fillId="2" borderId="2" xfId="2" applyNumberFormat="1" applyFont="1" applyFill="1" applyBorder="1" applyAlignment="1">
      <alignment horizontal="right" vertical="top"/>
    </xf>
    <xf numFmtId="166" fontId="10" fillId="0" borderId="2" xfId="2" applyNumberFormat="1" applyFont="1" applyFill="1" applyBorder="1"/>
    <xf numFmtId="0" fontId="12" fillId="0" borderId="0" xfId="0" applyFont="1"/>
    <xf numFmtId="0" fontId="13" fillId="0" borderId="0" xfId="1" applyFont="1"/>
    <xf numFmtId="0" fontId="14" fillId="2" borderId="1" xfId="1" applyNumberFormat="1" applyFont="1" applyFill="1" applyBorder="1" applyAlignment="1">
      <alignment horizontal="right" vertical="top"/>
    </xf>
    <xf numFmtId="0" fontId="12" fillId="0" borderId="0" xfId="0" applyFont="1" applyFill="1"/>
    <xf numFmtId="0" fontId="15" fillId="0" borderId="0" xfId="1" applyNumberFormat="1" applyFont="1" applyFill="1" applyBorder="1" applyAlignment="1">
      <alignment horizontal="center" vertical="top" wrapText="1"/>
    </xf>
    <xf numFmtId="0" fontId="16" fillId="0" borderId="0" xfId="0" applyFont="1"/>
    <xf numFmtId="0" fontId="13" fillId="0" borderId="0" xfId="1" applyFont="1" applyAlignment="1">
      <alignment horizontal="right"/>
    </xf>
    <xf numFmtId="0" fontId="14" fillId="0" borderId="1" xfId="1" applyNumberFormat="1" applyFont="1" applyFill="1" applyBorder="1" applyAlignment="1">
      <alignment horizontal="right" vertical="top"/>
    </xf>
    <xf numFmtId="0" fontId="0" fillId="6" borderId="0" xfId="0" applyFill="1"/>
    <xf numFmtId="165" fontId="3" fillId="6" borderId="0" xfId="1" applyNumberFormat="1" applyFont="1" applyFill="1" applyBorder="1" applyAlignment="1">
      <alignment horizontal="left" vertical="top"/>
    </xf>
    <xf numFmtId="0" fontId="3" fillId="6" borderId="0" xfId="1" applyNumberFormat="1" applyFont="1" applyFill="1" applyBorder="1" applyAlignment="1">
      <alignment horizontal="left" vertical="top"/>
    </xf>
    <xf numFmtId="0" fontId="3" fillId="6" borderId="1" xfId="1" applyNumberFormat="1" applyFont="1" applyFill="1" applyBorder="1" applyAlignment="1">
      <alignment horizontal="left" vertical="top"/>
    </xf>
    <xf numFmtId="0" fontId="5" fillId="6" borderId="0" xfId="1" applyNumberFormat="1" applyFont="1" applyFill="1" applyBorder="1" applyAlignment="1">
      <alignment horizontal="center" vertical="top" wrapText="1"/>
    </xf>
    <xf numFmtId="166" fontId="8" fillId="6" borderId="0" xfId="2" applyNumberFormat="1" applyFont="1" applyFill="1" applyBorder="1" applyAlignment="1">
      <alignment horizontal="right" vertical="top"/>
    </xf>
    <xf numFmtId="166" fontId="9" fillId="6" borderId="0" xfId="2" applyNumberFormat="1" applyFont="1" applyFill="1" applyBorder="1"/>
    <xf numFmtId="165" fontId="3" fillId="6" borderId="1" xfId="1" applyNumberFormat="1" applyFont="1" applyFill="1" applyBorder="1" applyAlignment="1">
      <alignment horizontal="left" vertical="top"/>
    </xf>
    <xf numFmtId="166" fontId="8" fillId="6" borderId="2" xfId="2" applyNumberFormat="1" applyFont="1" applyFill="1" applyBorder="1" applyAlignment="1">
      <alignment horizontal="right" vertical="top"/>
    </xf>
    <xf numFmtId="166" fontId="9" fillId="6" borderId="2" xfId="2" applyNumberFormat="1" applyFont="1" applyFill="1" applyBorder="1"/>
    <xf numFmtId="0" fontId="2" fillId="7" borderId="0" xfId="1" applyFill="1"/>
    <xf numFmtId="0" fontId="3" fillId="7" borderId="1" xfId="1" applyNumberFormat="1" applyFont="1" applyFill="1" applyBorder="1" applyAlignment="1">
      <alignment horizontal="left" vertical="top"/>
    </xf>
    <xf numFmtId="0" fontId="5" fillId="7" borderId="0" xfId="1" applyNumberFormat="1" applyFont="1" applyFill="1" applyBorder="1" applyAlignment="1">
      <alignment horizontal="center" vertical="top" wrapText="1"/>
    </xf>
    <xf numFmtId="166" fontId="7" fillId="7" borderId="0" xfId="0" applyNumberFormat="1" applyFont="1" applyFill="1"/>
    <xf numFmtId="0" fontId="3" fillId="6" borderId="1" xfId="1" applyNumberFormat="1" applyFont="1" applyFill="1" applyBorder="1" applyAlignment="1">
      <alignment horizontal="right" vertical="top"/>
    </xf>
    <xf numFmtId="0" fontId="3" fillId="8" borderId="1" xfId="1" applyNumberFormat="1" applyFont="1" applyFill="1" applyBorder="1" applyAlignment="1">
      <alignment horizontal="right" vertical="top"/>
    </xf>
    <xf numFmtId="0" fontId="13" fillId="8" borderId="0" xfId="1" applyFont="1" applyFill="1"/>
    <xf numFmtId="0" fontId="2" fillId="8" borderId="0" xfId="1" applyFill="1"/>
    <xf numFmtId="0" fontId="3" fillId="8" borderId="1" xfId="1" applyNumberFormat="1" applyFont="1" applyFill="1" applyBorder="1" applyAlignment="1">
      <alignment horizontal="left" vertical="top"/>
    </xf>
    <xf numFmtId="0" fontId="2" fillId="0" borderId="0" xfId="1" applyAlignment="1">
      <alignment horizontal="right"/>
    </xf>
    <xf numFmtId="0" fontId="7" fillId="7" borderId="0" xfId="0" applyFont="1" applyFill="1"/>
    <xf numFmtId="0" fontId="3" fillId="2" borderId="1" xfId="1" applyNumberFormat="1" applyFont="1" applyFill="1" applyBorder="1" applyAlignment="1">
      <alignment horizontal="right" vertical="top"/>
    </xf>
    <xf numFmtId="166" fontId="7" fillId="0" borderId="0" xfId="0" applyNumberFormat="1" applyFont="1" applyFill="1"/>
    <xf numFmtId="0" fontId="20" fillId="2" borderId="1" xfId="1" applyNumberFormat="1" applyFont="1" applyFill="1" applyBorder="1" applyAlignment="1">
      <alignment horizontal="left" vertical="top"/>
    </xf>
    <xf numFmtId="0" fontId="7" fillId="0" borderId="0" xfId="0" applyFont="1" applyFill="1"/>
    <xf numFmtId="0" fontId="21" fillId="0" borderId="0" xfId="6"/>
    <xf numFmtId="0" fontId="23" fillId="0" borderId="0" xfId="7" applyFont="1" applyAlignment="1"/>
    <xf numFmtId="0" fontId="21" fillId="0" borderId="0" xfId="6" applyAlignment="1">
      <alignment wrapText="1"/>
    </xf>
    <xf numFmtId="167" fontId="21" fillId="0" borderId="0" xfId="6" applyNumberFormat="1" applyAlignment="1">
      <alignment horizontal="right"/>
    </xf>
    <xf numFmtId="0" fontId="21" fillId="0" borderId="0" xfId="6" applyAlignment="1">
      <alignment horizontal="right"/>
    </xf>
    <xf numFmtId="0" fontId="21" fillId="0" borderId="0" xfId="6" applyFill="1" applyBorder="1"/>
    <xf numFmtId="0" fontId="19" fillId="11" borderId="0" xfId="5"/>
    <xf numFmtId="0" fontId="19" fillId="11" borderId="0" xfId="5" applyAlignment="1">
      <alignment wrapText="1"/>
    </xf>
    <xf numFmtId="167" fontId="19" fillId="11" borderId="0" xfId="5" applyNumberFormat="1" applyAlignment="1">
      <alignment horizontal="right"/>
    </xf>
    <xf numFmtId="0" fontId="19" fillId="11" borderId="0" xfId="5" applyAlignment="1">
      <alignment horizontal="right"/>
    </xf>
    <xf numFmtId="0" fontId="17" fillId="9" borderId="0" xfId="3"/>
    <xf numFmtId="0" fontId="17" fillId="9" borderId="0" xfId="3" applyAlignment="1">
      <alignment wrapText="1"/>
    </xf>
    <xf numFmtId="167" fontId="17" fillId="9" borderId="0" xfId="3" applyNumberFormat="1" applyAlignment="1">
      <alignment horizontal="right"/>
    </xf>
    <xf numFmtId="0" fontId="17" fillId="9" borderId="0" xfId="3" applyAlignment="1">
      <alignment horizontal="right"/>
    </xf>
    <xf numFmtId="0" fontId="18" fillId="10" borderId="0" xfId="4"/>
    <xf numFmtId="0" fontId="18" fillId="10" borderId="0" xfId="4" applyAlignment="1">
      <alignment wrapText="1"/>
    </xf>
    <xf numFmtId="167" fontId="18" fillId="10" borderId="0" xfId="4" applyNumberFormat="1" applyAlignment="1">
      <alignment horizontal="right"/>
    </xf>
    <xf numFmtId="0" fontId="18" fillId="10" borderId="0" xfId="4" applyAlignment="1">
      <alignment horizontal="right"/>
    </xf>
    <xf numFmtId="0" fontId="21" fillId="0" borderId="2" xfId="6" applyBorder="1"/>
    <xf numFmtId="0" fontId="24" fillId="0" borderId="2" xfId="6" applyFont="1" applyBorder="1"/>
    <xf numFmtId="0" fontId="24" fillId="0" borderId="2" xfId="6" applyFont="1" applyBorder="1" applyAlignment="1">
      <alignment wrapText="1"/>
    </xf>
    <xf numFmtId="0" fontId="24" fillId="0" borderId="2" xfId="6" applyFont="1" applyBorder="1" applyAlignment="1">
      <alignment horizontal="center"/>
    </xf>
    <xf numFmtId="167" fontId="25" fillId="0" borderId="2" xfId="6" applyNumberFormat="1" applyFont="1" applyBorder="1" applyAlignment="1">
      <alignment horizontal="center" wrapText="1"/>
    </xf>
    <xf numFmtId="0" fontId="24" fillId="0" borderId="2" xfId="6" applyFont="1" applyBorder="1" applyAlignment="1">
      <alignment horizontal="center" wrapText="1"/>
    </xf>
    <xf numFmtId="0" fontId="21" fillId="0" borderId="3" xfId="6" applyBorder="1"/>
    <xf numFmtId="0" fontId="24" fillId="0" borderId="0" xfId="6" applyFont="1" applyBorder="1"/>
    <xf numFmtId="0" fontId="24" fillId="0" borderId="0" xfId="6" applyFont="1" applyBorder="1" applyAlignment="1">
      <alignment wrapText="1"/>
    </xf>
    <xf numFmtId="167" fontId="24" fillId="0" borderId="0" xfId="6" applyNumberFormat="1" applyFont="1" applyBorder="1" applyAlignment="1">
      <alignment horizontal="right"/>
    </xf>
    <xf numFmtId="0" fontId="24" fillId="0" borderId="0" xfId="6" applyFont="1" applyBorder="1" applyAlignment="1">
      <alignment horizontal="right"/>
    </xf>
    <xf numFmtId="167" fontId="3" fillId="2" borderId="1" xfId="1" applyNumberFormat="1" applyFont="1" applyFill="1" applyBorder="1" applyAlignment="1">
      <alignment horizontal="right" vertical="top"/>
    </xf>
    <xf numFmtId="0" fontId="3" fillId="0" borderId="0" xfId="1" applyNumberFormat="1" applyFont="1" applyFill="1" applyBorder="1" applyAlignment="1">
      <alignment horizontal="left" vertical="top"/>
    </xf>
    <xf numFmtId="0" fontId="3" fillId="2" borderId="4" xfId="1" applyNumberFormat="1" applyFont="1" applyFill="1" applyBorder="1" applyAlignment="1">
      <alignment horizontal="left" vertical="top"/>
    </xf>
    <xf numFmtId="0" fontId="3" fillId="2" borderId="1" xfId="1" applyNumberFormat="1" applyFont="1" applyFill="1" applyBorder="1" applyAlignment="1">
      <alignment vertical="top" wrapText="1"/>
    </xf>
    <xf numFmtId="0" fontId="3" fillId="2" borderId="3" xfId="1" applyNumberFormat="1" applyFont="1" applyFill="1" applyBorder="1" applyAlignment="1">
      <alignment vertical="top"/>
    </xf>
    <xf numFmtId="0" fontId="3" fillId="2" borderId="0" xfId="1" applyNumberFormat="1" applyFont="1" applyFill="1" applyBorder="1" applyAlignment="1">
      <alignment vertical="top"/>
    </xf>
    <xf numFmtId="0" fontId="3" fillId="2" borderId="0" xfId="1" applyNumberFormat="1" applyFont="1" applyFill="1" applyBorder="1" applyAlignment="1">
      <alignment vertical="top" wrapText="1"/>
    </xf>
    <xf numFmtId="0" fontId="21" fillId="0" borderId="5" xfId="6" applyBorder="1"/>
    <xf numFmtId="167" fontId="21" fillId="0" borderId="5" xfId="6" applyNumberFormat="1" applyBorder="1" applyAlignment="1">
      <alignment horizontal="right"/>
    </xf>
    <xf numFmtId="0" fontId="21" fillId="0" borderId="5" xfId="6" applyBorder="1" applyAlignment="1">
      <alignment horizontal="right"/>
    </xf>
    <xf numFmtId="0" fontId="26" fillId="0" borderId="5" xfId="6" applyFont="1" applyBorder="1" applyAlignment="1">
      <alignment wrapText="1"/>
    </xf>
    <xf numFmtId="0" fontId="27" fillId="0" borderId="5" xfId="6" applyFont="1" applyBorder="1"/>
    <xf numFmtId="0" fontId="27" fillId="0" borderId="5" xfId="6" applyFont="1" applyBorder="1" applyAlignment="1">
      <alignment wrapText="1"/>
    </xf>
    <xf numFmtId="0" fontId="26" fillId="0" borderId="0" xfId="6" applyFont="1" applyBorder="1" applyAlignment="1">
      <alignment wrapText="1"/>
    </xf>
    <xf numFmtId="0" fontId="21" fillId="0" borderId="0" xfId="6" applyBorder="1"/>
    <xf numFmtId="167" fontId="21" fillId="0" borderId="0" xfId="6" applyNumberFormat="1" applyBorder="1" applyAlignment="1">
      <alignment horizontal="right"/>
    </xf>
    <xf numFmtId="0" fontId="21" fillId="0" borderId="0" xfId="6" applyBorder="1" applyAlignment="1">
      <alignment horizontal="right"/>
    </xf>
    <xf numFmtId="167" fontId="26" fillId="0" borderId="5" xfId="6" applyNumberFormat="1" applyFont="1" applyBorder="1" applyAlignment="1">
      <alignment horizontal="right" wrapText="1"/>
    </xf>
    <xf numFmtId="0" fontId="26" fillId="0" borderId="5" xfId="6" applyFont="1" applyBorder="1" applyAlignment="1">
      <alignment horizontal="right" wrapText="1"/>
    </xf>
    <xf numFmtId="0" fontId="21" fillId="0" borderId="6" xfId="6" applyBorder="1"/>
    <xf numFmtId="0" fontId="28" fillId="0" borderId="5" xfId="6" applyFont="1" applyBorder="1" applyAlignment="1">
      <alignment horizontal="center"/>
    </xf>
    <xf numFmtId="0" fontId="14" fillId="8" borderId="1" xfId="1" applyNumberFormat="1" applyFont="1" applyFill="1" applyBorder="1" applyAlignment="1">
      <alignment horizontal="right" vertical="top"/>
    </xf>
    <xf numFmtId="0" fontId="2" fillId="4" borderId="0" xfId="1" applyFill="1"/>
    <xf numFmtId="0" fontId="3" fillId="2" borderId="0" xfId="1" applyNumberFormat="1" applyFont="1" applyFill="1" applyBorder="1" applyAlignment="1">
      <alignment horizontal="left" vertical="top"/>
    </xf>
    <xf numFmtId="0" fontId="3" fillId="8" borderId="0" xfId="1" applyNumberFormat="1" applyFont="1" applyFill="1" applyBorder="1" applyAlignment="1">
      <alignment horizontal="left" vertical="top"/>
    </xf>
    <xf numFmtId="0" fontId="5" fillId="0" borderId="0" xfId="1" applyNumberFormat="1" applyFont="1" applyFill="1" applyBorder="1" applyAlignment="1">
      <alignment horizontal="center" vertical="center" wrapText="1"/>
    </xf>
    <xf numFmtId="166" fontId="9" fillId="0" borderId="5" xfId="2" applyNumberFormat="1" applyFont="1" applyFill="1" applyBorder="1"/>
    <xf numFmtId="0" fontId="3" fillId="0" borderId="1" xfId="1" applyNumberFormat="1" applyFont="1" applyFill="1" applyBorder="1" applyAlignment="1">
      <alignment horizontal="left" vertical="top" wrapText="1"/>
    </xf>
    <xf numFmtId="0" fontId="1" fillId="0" borderId="0" xfId="6" applyFont="1" applyBorder="1" applyAlignment="1">
      <alignment horizontal="right" vertical="top"/>
    </xf>
    <xf numFmtId="0" fontId="21" fillId="0" borderId="5" xfId="6" applyBorder="1" applyAlignment="1">
      <alignment wrapText="1"/>
    </xf>
    <xf numFmtId="0" fontId="3" fillId="2" borderId="1" xfId="1" applyNumberFormat="1" applyFont="1" applyFill="1" applyBorder="1" applyAlignment="1">
      <alignment horizontal="left" vertical="top" wrapText="1"/>
    </xf>
    <xf numFmtId="0" fontId="3" fillId="6" borderId="1" xfId="1" applyNumberFormat="1" applyFont="1" applyFill="1" applyBorder="1" applyAlignment="1">
      <alignment horizontal="left" vertical="top" wrapText="1"/>
    </xf>
    <xf numFmtId="0" fontId="26" fillId="0" borderId="5" xfId="6" applyFont="1" applyBorder="1" applyAlignment="1">
      <alignment vertical="top" wrapText="1"/>
    </xf>
    <xf numFmtId="0" fontId="26" fillId="0" borderId="5" xfId="6" applyFont="1" applyBorder="1" applyAlignment="1">
      <alignment horizontal="left" vertical="top" wrapText="1"/>
    </xf>
    <xf numFmtId="0" fontId="13" fillId="0" borderId="1" xfId="1" applyNumberFormat="1" applyFont="1" applyFill="1" applyBorder="1" applyAlignment="1">
      <alignment horizontal="right" vertical="top"/>
    </xf>
    <xf numFmtId="0" fontId="2" fillId="8" borderId="1" xfId="1" applyNumberFormat="1" applyFont="1" applyFill="1" applyBorder="1" applyAlignment="1">
      <alignment horizontal="left" vertical="top"/>
    </xf>
    <xf numFmtId="0" fontId="0" fillId="8" borderId="0" xfId="0" applyFill="1"/>
    <xf numFmtId="0" fontId="5" fillId="8" borderId="0" xfId="1" applyNumberFormat="1" applyFont="1" applyFill="1" applyBorder="1" applyAlignment="1">
      <alignment horizontal="center" vertical="top" wrapText="1"/>
    </xf>
    <xf numFmtId="166" fontId="10" fillId="8" borderId="2" xfId="2" applyNumberFormat="1" applyFont="1" applyFill="1" applyBorder="1"/>
    <xf numFmtId="166" fontId="9" fillId="8" borderId="2" xfId="2" applyNumberFormat="1" applyFont="1" applyFill="1" applyBorder="1"/>
    <xf numFmtId="0" fontId="5" fillId="4" borderId="0" xfId="1" applyNumberFormat="1" applyFont="1" applyFill="1" applyBorder="1" applyAlignment="1">
      <alignment horizontal="center" vertical="center" wrapText="1"/>
    </xf>
    <xf numFmtId="0" fontId="29" fillId="4" borderId="0" xfId="1" applyNumberFormat="1" applyFont="1" applyFill="1" applyBorder="1" applyAlignment="1">
      <alignment horizontal="center" vertical="center" wrapText="1"/>
    </xf>
    <xf numFmtId="0" fontId="30" fillId="0" borderId="0" xfId="0" applyFont="1"/>
    <xf numFmtId="0" fontId="30" fillId="5" borderId="0" xfId="0" applyFont="1" applyFill="1"/>
    <xf numFmtId="0" fontId="30" fillId="12" borderId="0" xfId="0" applyFont="1" applyFill="1"/>
    <xf numFmtId="0" fontId="30" fillId="13" borderId="0" xfId="0" applyFont="1" applyFill="1"/>
    <xf numFmtId="0" fontId="2" fillId="7" borderId="0" xfId="1" applyFill="1" applyAlignment="1">
      <alignment horizontal="right"/>
    </xf>
    <xf numFmtId="0" fontId="31" fillId="2" borderId="1" xfId="1" applyNumberFormat="1" applyFont="1" applyFill="1" applyBorder="1" applyAlignment="1">
      <alignment horizontal="right" vertical="top"/>
    </xf>
    <xf numFmtId="0" fontId="32" fillId="0" borderId="0" xfId="1" applyFont="1" applyAlignment="1">
      <alignment horizontal="right"/>
    </xf>
    <xf numFmtId="0" fontId="31" fillId="8" borderId="0" xfId="1" applyNumberFormat="1" applyFont="1" applyFill="1" applyBorder="1" applyAlignment="1">
      <alignment horizontal="right" vertical="top"/>
    </xf>
    <xf numFmtId="0" fontId="31" fillId="6" borderId="1" xfId="1" applyNumberFormat="1" applyFont="1" applyFill="1" applyBorder="1" applyAlignment="1">
      <alignment horizontal="right" vertical="top"/>
    </xf>
    <xf numFmtId="0" fontId="31" fillId="8" borderId="1" xfId="1" applyNumberFormat="1" applyFont="1" applyFill="1" applyBorder="1" applyAlignment="1">
      <alignment horizontal="right" vertical="top"/>
    </xf>
    <xf numFmtId="0" fontId="31" fillId="0" borderId="1" xfId="1" applyNumberFormat="1" applyFont="1" applyFill="1" applyBorder="1" applyAlignment="1">
      <alignment horizontal="right" vertical="top"/>
    </xf>
    <xf numFmtId="0" fontId="30" fillId="0" borderId="0" xfId="0" applyFont="1" applyFill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Alignment="1">
      <alignment wrapText="1"/>
    </xf>
    <xf numFmtId="0" fontId="0" fillId="0" borderId="0" xfId="0" applyBorder="1"/>
    <xf numFmtId="0" fontId="0" fillId="0" borderId="11" xfId="0" applyBorder="1"/>
    <xf numFmtId="0" fontId="30" fillId="12" borderId="0" xfId="0" applyFont="1" applyFill="1" applyAlignment="1">
      <alignment wrapText="1"/>
    </xf>
    <xf numFmtId="0" fontId="30" fillId="5" borderId="0" xfId="0" applyFont="1" applyFill="1" applyAlignment="1">
      <alignment wrapText="1"/>
    </xf>
    <xf numFmtId="0" fontId="30" fillId="13" borderId="0" xfId="0" applyFont="1" applyFill="1" applyAlignment="1">
      <alignment wrapText="1"/>
    </xf>
    <xf numFmtId="0" fontId="18" fillId="0" borderId="0" xfId="4" applyFill="1" applyAlignment="1">
      <alignment vertical="center"/>
    </xf>
    <xf numFmtId="166" fontId="11" fillId="0" borderId="2" xfId="2" applyNumberFormat="1" applyFont="1" applyFill="1" applyBorder="1"/>
    <xf numFmtId="166" fontId="9" fillId="0" borderId="2" xfId="2" applyNumberFormat="1" applyFont="1" applyFill="1" applyBorder="1"/>
    <xf numFmtId="166" fontId="8" fillId="0" borderId="2" xfId="2" applyNumberFormat="1" applyFont="1" applyFill="1" applyBorder="1" applyAlignment="1">
      <alignment horizontal="right" vertical="top"/>
    </xf>
    <xf numFmtId="0" fontId="0" fillId="13" borderId="0" xfId="0" applyFill="1"/>
    <xf numFmtId="0" fontId="3" fillId="13" borderId="1" xfId="1" applyNumberFormat="1" applyFont="1" applyFill="1" applyBorder="1" applyAlignment="1">
      <alignment horizontal="left" vertical="top"/>
    </xf>
    <xf numFmtId="0" fontId="5" fillId="13" borderId="0" xfId="1" applyNumberFormat="1" applyFont="1" applyFill="1" applyBorder="1" applyAlignment="1">
      <alignment horizontal="center" vertical="top" wrapText="1"/>
    </xf>
    <xf numFmtId="166" fontId="8" fillId="13" borderId="2" xfId="2" applyNumberFormat="1" applyFont="1" applyFill="1" applyBorder="1" applyAlignment="1">
      <alignment horizontal="right" vertical="top"/>
    </xf>
    <xf numFmtId="166" fontId="9" fillId="13" borderId="2" xfId="2" applyNumberFormat="1" applyFont="1" applyFill="1" applyBorder="1"/>
    <xf numFmtId="0" fontId="5" fillId="3" borderId="0" xfId="1" applyNumberFormat="1" applyFont="1" applyFill="1" applyBorder="1" applyAlignment="1">
      <alignment horizontal="center" vertical="top" wrapText="1"/>
    </xf>
    <xf numFmtId="0" fontId="29" fillId="0" borderId="0" xfId="1" applyNumberFormat="1" applyFont="1" applyFill="1" applyBorder="1" applyAlignment="1">
      <alignment horizontal="center" vertical="center" wrapText="1"/>
    </xf>
    <xf numFmtId="166" fontId="11" fillId="13" borderId="2" xfId="2" applyNumberFormat="1" applyFont="1" applyFill="1" applyBorder="1"/>
    <xf numFmtId="166" fontId="35" fillId="7" borderId="0" xfId="0" applyNumberFormat="1" applyFont="1" applyFill="1"/>
    <xf numFmtId="0" fontId="2" fillId="3" borderId="0" xfId="1" applyFill="1"/>
    <xf numFmtId="0" fontId="0" fillId="3" borderId="0" xfId="0" applyFill="1"/>
    <xf numFmtId="17" fontId="0" fillId="0" borderId="0" xfId="0" applyNumberFormat="1"/>
    <xf numFmtId="0" fontId="4" fillId="0" borderId="1" xfId="1" applyNumberFormat="1" applyFont="1" applyFill="1" applyBorder="1" applyAlignment="1">
      <alignment horizontal="left" vertical="top"/>
    </xf>
    <xf numFmtId="0" fontId="5" fillId="4" borderId="0" xfId="1" applyNumberFormat="1" applyFont="1" applyFill="1" applyBorder="1" applyAlignment="1">
      <alignment horizontal="center" vertical="top" wrapText="1"/>
    </xf>
    <xf numFmtId="0" fontId="3" fillId="14" borderId="1" xfId="1" applyNumberFormat="1" applyFont="1" applyFill="1" applyBorder="1" applyAlignment="1">
      <alignment horizontal="left" vertical="top"/>
    </xf>
    <xf numFmtId="0" fontId="5" fillId="14" borderId="0" xfId="1" applyNumberFormat="1" applyFont="1" applyFill="1" applyBorder="1" applyAlignment="1">
      <alignment horizontal="center" vertical="top" wrapText="1"/>
    </xf>
    <xf numFmtId="0" fontId="29" fillId="4" borderId="0" xfId="1" applyNumberFormat="1" applyFont="1" applyFill="1" applyBorder="1" applyAlignment="1">
      <alignment horizontal="center" vertical="top" wrapText="1"/>
    </xf>
    <xf numFmtId="0" fontId="0" fillId="4" borderId="0" xfId="0" applyFill="1"/>
    <xf numFmtId="0" fontId="5" fillId="15" borderId="0" xfId="1" applyNumberFormat="1" applyFont="1" applyFill="1" applyBorder="1" applyAlignment="1">
      <alignment horizontal="center" vertical="top" wrapText="1"/>
    </xf>
    <xf numFmtId="3" fontId="29" fillId="0" borderId="0" xfId="1" applyNumberFormat="1" applyFont="1" applyFill="1" applyBorder="1" applyAlignment="1">
      <alignment horizontal="center" vertical="top" wrapText="1"/>
    </xf>
    <xf numFmtId="3" fontId="38" fillId="0" borderId="0" xfId="0" applyNumberFormat="1" applyFont="1" applyFill="1"/>
    <xf numFmtId="3" fontId="29" fillId="0" borderId="0" xfId="1" applyNumberFormat="1" applyFont="1" applyFill="1" applyBorder="1" applyAlignment="1">
      <alignment horizontal="center" vertical="center" wrapText="1"/>
    </xf>
    <xf numFmtId="3" fontId="39" fillId="0" borderId="0" xfId="1" applyNumberFormat="1" applyFont="1" applyFill="1" applyBorder="1" applyAlignment="1">
      <alignment horizontal="center" vertical="top" wrapText="1"/>
    </xf>
    <xf numFmtId="3" fontId="40" fillId="0" borderId="0" xfId="1" applyNumberFormat="1" applyFont="1" applyFill="1" applyBorder="1" applyAlignment="1">
      <alignment horizontal="center" vertical="top" wrapText="1"/>
    </xf>
    <xf numFmtId="0" fontId="3" fillId="14" borderId="0" xfId="1" applyNumberFormat="1" applyFont="1" applyFill="1" applyBorder="1" applyAlignment="1">
      <alignment horizontal="left" vertical="top"/>
    </xf>
    <xf numFmtId="166" fontId="8" fillId="2" borderId="0" xfId="2" applyNumberFormat="1" applyFont="1" applyFill="1" applyBorder="1" applyAlignment="1">
      <alignment horizontal="right" vertical="top"/>
    </xf>
    <xf numFmtId="166" fontId="9" fillId="0" borderId="0" xfId="2" applyNumberFormat="1" applyFont="1" applyBorder="1"/>
    <xf numFmtId="0" fontId="42" fillId="0" borderId="0" xfId="1" applyNumberFormat="1" applyFont="1" applyFill="1" applyBorder="1" applyAlignment="1">
      <alignment horizontal="left" vertical="top"/>
    </xf>
    <xf numFmtId="0" fontId="42" fillId="0" borderId="1" xfId="1" applyNumberFormat="1" applyFont="1" applyFill="1" applyBorder="1" applyAlignment="1">
      <alignment horizontal="left" vertical="top"/>
    </xf>
    <xf numFmtId="0" fontId="41" fillId="16" borderId="12" xfId="0" applyFont="1" applyFill="1" applyBorder="1" applyAlignment="1">
      <alignment horizontal="left" vertical="top"/>
    </xf>
    <xf numFmtId="0" fontId="3" fillId="16" borderId="1" xfId="1" applyNumberFormat="1" applyFont="1" applyFill="1" applyBorder="1" applyAlignment="1">
      <alignment horizontal="left" vertical="top"/>
    </xf>
    <xf numFmtId="3" fontId="5" fillId="4" borderId="0" xfId="1" applyNumberFormat="1" applyFont="1" applyFill="1" applyBorder="1" applyAlignment="1">
      <alignment horizontal="center" vertical="top" wrapText="1"/>
    </xf>
  </cellXfs>
  <cellStyles count="8">
    <cellStyle name="Normal 2" xfId="6" xr:uid="{00000000-0005-0000-0000-000000000000}"/>
    <cellStyle name="Normal_Sheet1" xfId="1" xr:uid="{00000000-0005-0000-0000-000001000000}"/>
    <cellStyle name="Нейтральный" xfId="5" builtinId="28"/>
    <cellStyle name="Обычный" xfId="0" builtinId="0"/>
    <cellStyle name="Обычный 2" xfId="7" xr:uid="{00000000-0005-0000-0000-000004000000}"/>
    <cellStyle name="Плохой" xfId="4" builtinId="27"/>
    <cellStyle name="Финансовый" xfId="2" builtinId="3"/>
    <cellStyle name="Хороший" xfId="3" builtinId="2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png"/><Relationship Id="rId21" Type="http://schemas.openxmlformats.org/officeDocument/2006/relationships/image" Target="../media/image20.emf"/><Relationship Id="rId34" Type="http://schemas.openxmlformats.org/officeDocument/2006/relationships/image" Target="../media/image33.emf"/><Relationship Id="rId42" Type="http://schemas.openxmlformats.org/officeDocument/2006/relationships/image" Target="../media/image41.emf"/><Relationship Id="rId7" Type="http://schemas.openxmlformats.org/officeDocument/2006/relationships/image" Target="../media/image7.jpeg"/><Relationship Id="rId2" Type="http://schemas.openxmlformats.org/officeDocument/2006/relationships/image" Target="../media/image2.emf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png"/><Relationship Id="rId5" Type="http://schemas.openxmlformats.org/officeDocument/2006/relationships/image" Target="../media/image5.emf"/><Relationship Id="rId15" Type="http://schemas.microsoft.com/office/2007/relationships/hdphoto" Target="../media/hdphoto1.wdp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10" Type="http://schemas.openxmlformats.org/officeDocument/2006/relationships/image" Target="../media/image10.png"/><Relationship Id="rId19" Type="http://schemas.openxmlformats.org/officeDocument/2006/relationships/image" Target="../media/image18.emf"/><Relationship Id="rId31" Type="http://schemas.openxmlformats.org/officeDocument/2006/relationships/image" Target="../media/image30.jpe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1.jpeg"/><Relationship Id="rId27" Type="http://schemas.openxmlformats.org/officeDocument/2006/relationships/image" Target="../media/image26.emf"/><Relationship Id="rId30" Type="http://schemas.openxmlformats.org/officeDocument/2006/relationships/image" Target="../media/image29.jpeg"/><Relationship Id="rId35" Type="http://schemas.openxmlformats.org/officeDocument/2006/relationships/image" Target="../media/image34.png"/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12" Type="http://schemas.openxmlformats.org/officeDocument/2006/relationships/image" Target="../media/image12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52.png"/><Relationship Id="rId26" Type="http://schemas.openxmlformats.org/officeDocument/2006/relationships/image" Target="../media/image40.emf"/><Relationship Id="rId21" Type="http://schemas.openxmlformats.org/officeDocument/2006/relationships/image" Target="../media/image54.emf"/><Relationship Id="rId34" Type="http://schemas.openxmlformats.org/officeDocument/2006/relationships/image" Target="../media/image9.png"/><Relationship Id="rId7" Type="http://schemas.openxmlformats.org/officeDocument/2006/relationships/image" Target="../media/image45.jpeg"/><Relationship Id="rId12" Type="http://schemas.openxmlformats.org/officeDocument/2006/relationships/image" Target="../media/image47.jpeg"/><Relationship Id="rId17" Type="http://schemas.openxmlformats.org/officeDocument/2006/relationships/image" Target="../media/image51.png"/><Relationship Id="rId25" Type="http://schemas.openxmlformats.org/officeDocument/2006/relationships/image" Target="../media/image58.jpeg"/><Relationship Id="rId33" Type="http://schemas.openxmlformats.org/officeDocument/2006/relationships/image" Target="../media/image63.png"/><Relationship Id="rId2" Type="http://schemas.openxmlformats.org/officeDocument/2006/relationships/image" Target="../media/image43.jpeg"/><Relationship Id="rId16" Type="http://schemas.openxmlformats.org/officeDocument/2006/relationships/image" Target="../media/image50.png"/><Relationship Id="rId20" Type="http://schemas.openxmlformats.org/officeDocument/2006/relationships/image" Target="../media/image37.emf"/><Relationship Id="rId29" Type="http://schemas.openxmlformats.org/officeDocument/2006/relationships/image" Target="../media/image61.emf"/><Relationship Id="rId1" Type="http://schemas.openxmlformats.org/officeDocument/2006/relationships/image" Target="../media/image42.jpeg"/><Relationship Id="rId6" Type="http://schemas.openxmlformats.org/officeDocument/2006/relationships/image" Target="../media/image44.jpeg"/><Relationship Id="rId11" Type="http://schemas.openxmlformats.org/officeDocument/2006/relationships/image" Target="../media/image32.jpeg"/><Relationship Id="rId24" Type="http://schemas.openxmlformats.org/officeDocument/2006/relationships/image" Target="../media/image57.jpeg"/><Relationship Id="rId32" Type="http://schemas.openxmlformats.org/officeDocument/2006/relationships/image" Target="../media/image8.emf"/><Relationship Id="rId37" Type="http://schemas.openxmlformats.org/officeDocument/2006/relationships/image" Target="../media/image66.png"/><Relationship Id="rId5" Type="http://schemas.openxmlformats.org/officeDocument/2006/relationships/image" Target="../media/image18.emf"/><Relationship Id="rId15" Type="http://schemas.openxmlformats.org/officeDocument/2006/relationships/image" Target="../media/image49.jpeg"/><Relationship Id="rId23" Type="http://schemas.openxmlformats.org/officeDocument/2006/relationships/image" Target="../media/image56.jpeg"/><Relationship Id="rId28" Type="http://schemas.openxmlformats.org/officeDocument/2006/relationships/image" Target="../media/image60.emf"/><Relationship Id="rId36" Type="http://schemas.openxmlformats.org/officeDocument/2006/relationships/image" Target="../media/image65.png"/><Relationship Id="rId10" Type="http://schemas.openxmlformats.org/officeDocument/2006/relationships/image" Target="../media/image46.png"/><Relationship Id="rId19" Type="http://schemas.openxmlformats.org/officeDocument/2006/relationships/image" Target="../media/image53.jpeg"/><Relationship Id="rId31" Type="http://schemas.openxmlformats.org/officeDocument/2006/relationships/image" Target="../media/image62.jpeg"/><Relationship Id="rId4" Type="http://schemas.openxmlformats.org/officeDocument/2006/relationships/image" Target="../media/image26.emf"/><Relationship Id="rId9" Type="http://schemas.openxmlformats.org/officeDocument/2006/relationships/image" Target="../media/image20.emf"/><Relationship Id="rId14" Type="http://schemas.openxmlformats.org/officeDocument/2006/relationships/image" Target="../media/image48.png"/><Relationship Id="rId22" Type="http://schemas.openxmlformats.org/officeDocument/2006/relationships/image" Target="../media/image55.emf"/><Relationship Id="rId27" Type="http://schemas.openxmlformats.org/officeDocument/2006/relationships/image" Target="../media/image59.emf"/><Relationship Id="rId30" Type="http://schemas.openxmlformats.org/officeDocument/2006/relationships/image" Target="../media/image41.emf"/><Relationship Id="rId35" Type="http://schemas.openxmlformats.org/officeDocument/2006/relationships/image" Target="../media/image64.jpeg"/><Relationship Id="rId8" Type="http://schemas.openxmlformats.org/officeDocument/2006/relationships/image" Target="../media/image11.png"/><Relationship Id="rId3" Type="http://schemas.openxmlformats.org/officeDocument/2006/relationships/image" Target="../media/image3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20</xdr:row>
      <xdr:rowOff>47625</xdr:rowOff>
    </xdr:from>
    <xdr:to>
      <xdr:col>8</xdr:col>
      <xdr:colOff>314639</xdr:colOff>
      <xdr:row>20</xdr:row>
      <xdr:rowOff>2105025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0" y="6181725"/>
          <a:ext cx="3200714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20</xdr:row>
      <xdr:rowOff>333376</xdr:rowOff>
    </xdr:from>
    <xdr:to>
      <xdr:col>5</xdr:col>
      <xdr:colOff>344400</xdr:colOff>
      <xdr:row>20</xdr:row>
      <xdr:rowOff>2072795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0" y="6467476"/>
          <a:ext cx="3240000" cy="1739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</xdr:colOff>
      <xdr:row>33</xdr:row>
      <xdr:rowOff>209550</xdr:rowOff>
    </xdr:from>
    <xdr:to>
      <xdr:col>8</xdr:col>
      <xdr:colOff>317925</xdr:colOff>
      <xdr:row>33</xdr:row>
      <xdr:rowOff>2238843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0" y="11220450"/>
          <a:ext cx="3204000" cy="2029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171450</xdr:colOff>
      <xdr:row>41</xdr:row>
      <xdr:rowOff>231386</xdr:rowOff>
    </xdr:from>
    <xdr:to>
      <xdr:col>8</xdr:col>
      <xdr:colOff>133350</xdr:colOff>
      <xdr:row>41</xdr:row>
      <xdr:rowOff>1924990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5300" y="15147536"/>
          <a:ext cx="2905125" cy="1693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33</xdr:row>
      <xdr:rowOff>123825</xdr:rowOff>
    </xdr:from>
    <xdr:to>
      <xdr:col>5</xdr:col>
      <xdr:colOff>308400</xdr:colOff>
      <xdr:row>33</xdr:row>
      <xdr:rowOff>2509211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0" y="11134725"/>
          <a:ext cx="3204000" cy="2385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285750</xdr:colOff>
      <xdr:row>41</xdr:row>
      <xdr:rowOff>102244</xdr:rowOff>
    </xdr:from>
    <xdr:to>
      <xdr:col>4</xdr:col>
      <xdr:colOff>2847975</xdr:colOff>
      <xdr:row>41</xdr:row>
      <xdr:rowOff>2105755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1525" y="15018394"/>
          <a:ext cx="2562225" cy="2003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457201</xdr:colOff>
      <xdr:row>67</xdr:row>
      <xdr:rowOff>342900</xdr:rowOff>
    </xdr:from>
    <xdr:to>
      <xdr:col>1</xdr:col>
      <xdr:colOff>2337190</xdr:colOff>
      <xdr:row>67</xdr:row>
      <xdr:rowOff>2303132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1" y="27965400"/>
          <a:ext cx="1879989" cy="196023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67</xdr:row>
      <xdr:rowOff>19050</xdr:rowOff>
    </xdr:from>
    <xdr:to>
      <xdr:col>7</xdr:col>
      <xdr:colOff>2552700</xdr:colOff>
      <xdr:row>67</xdr:row>
      <xdr:rowOff>2610144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4850" y="27641550"/>
          <a:ext cx="2171700" cy="259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552448</xdr:colOff>
      <xdr:row>67</xdr:row>
      <xdr:rowOff>28575</xdr:rowOff>
    </xdr:from>
    <xdr:to>
      <xdr:col>4</xdr:col>
      <xdr:colOff>2176120</xdr:colOff>
      <xdr:row>67</xdr:row>
      <xdr:rowOff>2620575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848223" y="27651075"/>
          <a:ext cx="1623672" cy="25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1981200</xdr:colOff>
      <xdr:row>75</xdr:row>
      <xdr:rowOff>600075</xdr:rowOff>
    </xdr:from>
    <xdr:to>
      <xdr:col>4</xdr:col>
      <xdr:colOff>2780446</xdr:colOff>
      <xdr:row>75</xdr:row>
      <xdr:rowOff>1814461</xdr:rowOff>
    </xdr:to>
    <xdr:grpSp>
      <xdr:nvGrpSpPr>
        <xdr:cNvPr id="18" name="Group 1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6481417" y="31438988"/>
          <a:ext cx="799246" cy="1214386"/>
          <a:chOff x="5287622" y="3308161"/>
          <a:chExt cx="799246" cy="1214386"/>
        </a:xfrm>
      </xdr:grpSpPr>
      <xdr:sp macro="" textlink="">
        <xdr:nvSpPr>
          <xdr:cNvPr id="19" name="Freeform 139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>
            <a:spLocks/>
          </xdr:cNvSpPr>
        </xdr:nvSpPr>
        <xdr:spPr bwMode="auto">
          <a:xfrm>
            <a:off x="5287622" y="3308161"/>
            <a:ext cx="799246" cy="844956"/>
          </a:xfrm>
          <a:custGeom>
            <a:avLst/>
            <a:gdLst>
              <a:gd name="connsiteX0" fmla="*/ 964368 w 1559720"/>
              <a:gd name="connsiteY0" fmla="*/ 909272 h 1648924"/>
              <a:gd name="connsiteX1" fmla="*/ 1010388 w 1559720"/>
              <a:gd name="connsiteY1" fmla="*/ 928567 h 1648924"/>
              <a:gd name="connsiteX2" fmla="*/ 1010388 w 1559720"/>
              <a:gd name="connsiteY2" fmla="*/ 1022900 h 1648924"/>
              <a:gd name="connsiteX3" fmla="*/ 943450 w 1559720"/>
              <a:gd name="connsiteY3" fmla="*/ 1168686 h 1648924"/>
              <a:gd name="connsiteX4" fmla="*/ 943450 w 1559720"/>
              <a:gd name="connsiteY4" fmla="*/ 1177262 h 1648924"/>
              <a:gd name="connsiteX5" fmla="*/ 951818 w 1559720"/>
              <a:gd name="connsiteY5" fmla="*/ 1177262 h 1648924"/>
              <a:gd name="connsiteX6" fmla="*/ 1002020 w 1559720"/>
              <a:gd name="connsiteY6" fmla="*/ 1228716 h 1648924"/>
              <a:gd name="connsiteX7" fmla="*/ 1002020 w 1559720"/>
              <a:gd name="connsiteY7" fmla="*/ 1357351 h 1648924"/>
              <a:gd name="connsiteX8" fmla="*/ 951818 w 1559720"/>
              <a:gd name="connsiteY8" fmla="*/ 1408805 h 1648924"/>
              <a:gd name="connsiteX9" fmla="*/ 918349 w 1559720"/>
              <a:gd name="connsiteY9" fmla="*/ 1408805 h 1648924"/>
              <a:gd name="connsiteX10" fmla="*/ 918349 w 1559720"/>
              <a:gd name="connsiteY10" fmla="*/ 1528865 h 1648924"/>
              <a:gd name="connsiteX11" fmla="*/ 792842 w 1559720"/>
              <a:gd name="connsiteY11" fmla="*/ 1648924 h 1648924"/>
              <a:gd name="connsiteX12" fmla="*/ 667334 w 1559720"/>
              <a:gd name="connsiteY12" fmla="*/ 1528865 h 1648924"/>
              <a:gd name="connsiteX13" fmla="*/ 667334 w 1559720"/>
              <a:gd name="connsiteY13" fmla="*/ 1408805 h 1648924"/>
              <a:gd name="connsiteX14" fmla="*/ 633866 w 1559720"/>
              <a:gd name="connsiteY14" fmla="*/ 1408805 h 1648924"/>
              <a:gd name="connsiteX15" fmla="*/ 583663 w 1559720"/>
              <a:gd name="connsiteY15" fmla="*/ 1357351 h 1648924"/>
              <a:gd name="connsiteX16" fmla="*/ 583663 w 1559720"/>
              <a:gd name="connsiteY16" fmla="*/ 1228716 h 1648924"/>
              <a:gd name="connsiteX17" fmla="*/ 633866 w 1559720"/>
              <a:gd name="connsiteY17" fmla="*/ 1177262 h 1648924"/>
              <a:gd name="connsiteX18" fmla="*/ 809576 w 1559720"/>
              <a:gd name="connsiteY18" fmla="*/ 1177262 h 1648924"/>
              <a:gd name="connsiteX19" fmla="*/ 809576 w 1559720"/>
              <a:gd name="connsiteY19" fmla="*/ 1168686 h 1648924"/>
              <a:gd name="connsiteX20" fmla="*/ 918349 w 1559720"/>
              <a:gd name="connsiteY20" fmla="*/ 928567 h 1648924"/>
              <a:gd name="connsiteX21" fmla="*/ 964368 w 1559720"/>
              <a:gd name="connsiteY21" fmla="*/ 909272 h 1648924"/>
              <a:gd name="connsiteX22" fmla="*/ 1259683 w 1559720"/>
              <a:gd name="connsiteY22" fmla="*/ 719137 h 1648924"/>
              <a:gd name="connsiteX23" fmla="*/ 1526382 w 1559720"/>
              <a:gd name="connsiteY23" fmla="*/ 719137 h 1648924"/>
              <a:gd name="connsiteX24" fmla="*/ 1559720 w 1559720"/>
              <a:gd name="connsiteY24" fmla="*/ 752475 h 1648924"/>
              <a:gd name="connsiteX25" fmla="*/ 1526382 w 1559720"/>
              <a:gd name="connsiteY25" fmla="*/ 785813 h 1648924"/>
              <a:gd name="connsiteX26" fmla="*/ 1259682 w 1559720"/>
              <a:gd name="connsiteY26" fmla="*/ 785812 h 1648924"/>
              <a:gd name="connsiteX27" fmla="*/ 1226344 w 1559720"/>
              <a:gd name="connsiteY27" fmla="*/ 752474 h 1648924"/>
              <a:gd name="connsiteX28" fmla="*/ 1226345 w 1559720"/>
              <a:gd name="connsiteY28" fmla="*/ 752475 h 1648924"/>
              <a:gd name="connsiteX29" fmla="*/ 1259683 w 1559720"/>
              <a:gd name="connsiteY29" fmla="*/ 719137 h 1648924"/>
              <a:gd name="connsiteX30" fmla="*/ 33339 w 1559720"/>
              <a:gd name="connsiteY30" fmla="*/ 719137 h 1648924"/>
              <a:gd name="connsiteX31" fmla="*/ 300038 w 1559720"/>
              <a:gd name="connsiteY31" fmla="*/ 719137 h 1648924"/>
              <a:gd name="connsiteX32" fmla="*/ 333376 w 1559720"/>
              <a:gd name="connsiteY32" fmla="*/ 752475 h 1648924"/>
              <a:gd name="connsiteX33" fmla="*/ 300038 w 1559720"/>
              <a:gd name="connsiteY33" fmla="*/ 785813 h 1648924"/>
              <a:gd name="connsiteX34" fmla="*/ 33338 w 1559720"/>
              <a:gd name="connsiteY34" fmla="*/ 785812 h 1648924"/>
              <a:gd name="connsiteX35" fmla="*/ 0 w 1559720"/>
              <a:gd name="connsiteY35" fmla="*/ 752474 h 1648924"/>
              <a:gd name="connsiteX36" fmla="*/ 1 w 1559720"/>
              <a:gd name="connsiteY36" fmla="*/ 752475 h 1648924"/>
              <a:gd name="connsiteX37" fmla="*/ 33339 w 1559720"/>
              <a:gd name="connsiteY37" fmla="*/ 719137 h 1648924"/>
              <a:gd name="connsiteX38" fmla="*/ 1046163 w 1559720"/>
              <a:gd name="connsiteY38" fmla="*/ 716783 h 1648924"/>
              <a:gd name="connsiteX39" fmla="*/ 1104066 w 1559720"/>
              <a:gd name="connsiteY39" fmla="*/ 757853 h 1648924"/>
              <a:gd name="connsiteX40" fmla="*/ 1070422 w 1559720"/>
              <a:gd name="connsiteY40" fmla="*/ 843751 h 1648924"/>
              <a:gd name="connsiteX41" fmla="*/ 709003 w 1559720"/>
              <a:gd name="connsiteY41" fmla="*/ 989737 h 1648924"/>
              <a:gd name="connsiteX42" fmla="*/ 793049 w 1559720"/>
              <a:gd name="connsiteY42" fmla="*/ 1135764 h 1648924"/>
              <a:gd name="connsiteX43" fmla="*/ 658601 w 1559720"/>
              <a:gd name="connsiteY43" fmla="*/ 1135764 h 1648924"/>
              <a:gd name="connsiteX44" fmla="*/ 616545 w 1559720"/>
              <a:gd name="connsiteY44" fmla="*/ 1084225 h 1648924"/>
              <a:gd name="connsiteX45" fmla="*/ 540910 w 1559720"/>
              <a:gd name="connsiteY45" fmla="*/ 1058456 h 1648924"/>
              <a:gd name="connsiteX46" fmla="*/ 532499 w 1559720"/>
              <a:gd name="connsiteY46" fmla="*/ 1058456 h 1648924"/>
              <a:gd name="connsiteX47" fmla="*/ 524088 w 1559720"/>
              <a:gd name="connsiteY47" fmla="*/ 1058456 h 1648924"/>
              <a:gd name="connsiteX48" fmla="*/ 465275 w 1559720"/>
              <a:gd name="connsiteY48" fmla="*/ 1015506 h 1648924"/>
              <a:gd name="connsiteX49" fmla="*/ 498919 w 1559720"/>
              <a:gd name="connsiteY49" fmla="*/ 929608 h 1648924"/>
              <a:gd name="connsiteX50" fmla="*/ 1020020 w 1559720"/>
              <a:gd name="connsiteY50" fmla="*/ 723493 h 1648924"/>
              <a:gd name="connsiteX51" fmla="*/ 1046163 w 1559720"/>
              <a:gd name="connsiteY51" fmla="*/ 716783 h 1648924"/>
              <a:gd name="connsiteX52" fmla="*/ 1046147 w 1559720"/>
              <a:gd name="connsiteY52" fmla="*/ 509357 h 1648924"/>
              <a:gd name="connsiteX53" fmla="*/ 1104063 w 1559720"/>
              <a:gd name="connsiteY53" fmla="*/ 550525 h 1648924"/>
              <a:gd name="connsiteX54" fmla="*/ 1070443 w 1559720"/>
              <a:gd name="connsiteY54" fmla="*/ 636629 h 1648924"/>
              <a:gd name="connsiteX55" fmla="*/ 549331 w 1559720"/>
              <a:gd name="connsiteY55" fmla="*/ 851888 h 1648924"/>
              <a:gd name="connsiteX56" fmla="*/ 524116 w 1559720"/>
              <a:gd name="connsiteY56" fmla="*/ 851888 h 1648924"/>
              <a:gd name="connsiteX57" fmla="*/ 465281 w 1559720"/>
              <a:gd name="connsiteY57" fmla="*/ 808836 h 1648924"/>
              <a:gd name="connsiteX58" fmla="*/ 498901 w 1559720"/>
              <a:gd name="connsiteY58" fmla="*/ 722733 h 1648924"/>
              <a:gd name="connsiteX59" fmla="*/ 1020013 w 1559720"/>
              <a:gd name="connsiteY59" fmla="*/ 516084 h 1648924"/>
              <a:gd name="connsiteX60" fmla="*/ 1046147 w 1559720"/>
              <a:gd name="connsiteY60" fmla="*/ 509357 h 1648924"/>
              <a:gd name="connsiteX61" fmla="*/ 893327 w 1559720"/>
              <a:gd name="connsiteY61" fmla="*/ 389199 h 1648924"/>
              <a:gd name="connsiteX62" fmla="*/ 952379 w 1559720"/>
              <a:gd name="connsiteY62" fmla="*/ 430142 h 1648924"/>
              <a:gd name="connsiteX63" fmla="*/ 910386 w 1559720"/>
              <a:gd name="connsiteY63" fmla="*/ 515776 h 1648924"/>
              <a:gd name="connsiteX64" fmla="*/ 549253 w 1559720"/>
              <a:gd name="connsiteY64" fmla="*/ 661353 h 1648924"/>
              <a:gd name="connsiteX65" fmla="*/ 524057 w 1559720"/>
              <a:gd name="connsiteY65" fmla="*/ 669917 h 1648924"/>
              <a:gd name="connsiteX66" fmla="*/ 465268 w 1559720"/>
              <a:gd name="connsiteY66" fmla="*/ 627100 h 1648924"/>
              <a:gd name="connsiteX67" fmla="*/ 498862 w 1559720"/>
              <a:gd name="connsiteY67" fmla="*/ 541466 h 1648924"/>
              <a:gd name="connsiteX68" fmla="*/ 868394 w 1559720"/>
              <a:gd name="connsiteY68" fmla="*/ 395889 h 1648924"/>
              <a:gd name="connsiteX69" fmla="*/ 893327 w 1559720"/>
              <a:gd name="connsiteY69" fmla="*/ 389199 h 1648924"/>
              <a:gd name="connsiteX70" fmla="*/ 1447793 w 1559720"/>
              <a:gd name="connsiteY70" fmla="*/ 334513 h 1648924"/>
              <a:gd name="connsiteX71" fmla="*/ 1468036 w 1559720"/>
              <a:gd name="connsiteY71" fmla="*/ 350046 h 1648924"/>
              <a:gd name="connsiteX72" fmla="*/ 1455834 w 1559720"/>
              <a:gd name="connsiteY72" fmla="*/ 395587 h 1648924"/>
              <a:gd name="connsiteX73" fmla="*/ 1224864 w 1559720"/>
              <a:gd name="connsiteY73" fmla="*/ 528936 h 1648924"/>
              <a:gd name="connsiteX74" fmla="*/ 1179324 w 1559720"/>
              <a:gd name="connsiteY74" fmla="*/ 516733 h 1648924"/>
              <a:gd name="connsiteX75" fmla="*/ 1179325 w 1559720"/>
              <a:gd name="connsiteY75" fmla="*/ 516734 h 1648924"/>
              <a:gd name="connsiteX76" fmla="*/ 1191528 w 1559720"/>
              <a:gd name="connsiteY76" fmla="*/ 471193 h 1648924"/>
              <a:gd name="connsiteX77" fmla="*/ 1422496 w 1559720"/>
              <a:gd name="connsiteY77" fmla="*/ 337844 h 1648924"/>
              <a:gd name="connsiteX78" fmla="*/ 1447793 w 1559720"/>
              <a:gd name="connsiteY78" fmla="*/ 334513 h 1648924"/>
              <a:gd name="connsiteX79" fmla="*/ 151169 w 1559720"/>
              <a:gd name="connsiteY79" fmla="*/ 334513 h 1648924"/>
              <a:gd name="connsiteX80" fmla="*/ 176466 w 1559720"/>
              <a:gd name="connsiteY80" fmla="*/ 337844 h 1648924"/>
              <a:gd name="connsiteX81" fmla="*/ 407434 w 1559720"/>
              <a:gd name="connsiteY81" fmla="*/ 471193 h 1648924"/>
              <a:gd name="connsiteX82" fmla="*/ 419637 w 1559720"/>
              <a:gd name="connsiteY82" fmla="*/ 516734 h 1648924"/>
              <a:gd name="connsiteX83" fmla="*/ 419638 w 1559720"/>
              <a:gd name="connsiteY83" fmla="*/ 516733 h 1648924"/>
              <a:gd name="connsiteX84" fmla="*/ 374098 w 1559720"/>
              <a:gd name="connsiteY84" fmla="*/ 528936 h 1648924"/>
              <a:gd name="connsiteX85" fmla="*/ 143128 w 1559720"/>
              <a:gd name="connsiteY85" fmla="*/ 395587 h 1648924"/>
              <a:gd name="connsiteX86" fmla="*/ 130926 w 1559720"/>
              <a:gd name="connsiteY86" fmla="*/ 350046 h 1648924"/>
              <a:gd name="connsiteX87" fmla="*/ 151169 w 1559720"/>
              <a:gd name="connsiteY87" fmla="*/ 334513 h 1648924"/>
              <a:gd name="connsiteX88" fmla="*/ 1176291 w 1559720"/>
              <a:gd name="connsiteY88" fmla="*/ 83298 h 1648924"/>
              <a:gd name="connsiteX89" fmla="*/ 1201589 w 1559720"/>
              <a:gd name="connsiteY89" fmla="*/ 86628 h 1648924"/>
              <a:gd name="connsiteX90" fmla="*/ 1213791 w 1559720"/>
              <a:gd name="connsiteY90" fmla="*/ 132169 h 1648924"/>
              <a:gd name="connsiteX91" fmla="*/ 1080440 w 1559720"/>
              <a:gd name="connsiteY91" fmla="*/ 363137 h 1648924"/>
              <a:gd name="connsiteX92" fmla="*/ 1034900 w 1559720"/>
              <a:gd name="connsiteY92" fmla="*/ 375340 h 1648924"/>
              <a:gd name="connsiteX93" fmla="*/ 1034901 w 1559720"/>
              <a:gd name="connsiteY93" fmla="*/ 375339 h 1648924"/>
              <a:gd name="connsiteX94" fmla="*/ 1022699 w 1559720"/>
              <a:gd name="connsiteY94" fmla="*/ 329799 h 1648924"/>
              <a:gd name="connsiteX95" fmla="*/ 1156048 w 1559720"/>
              <a:gd name="connsiteY95" fmla="*/ 98831 h 1648924"/>
              <a:gd name="connsiteX96" fmla="*/ 1176291 w 1559720"/>
              <a:gd name="connsiteY96" fmla="*/ 83298 h 1648924"/>
              <a:gd name="connsiteX97" fmla="*/ 422671 w 1559720"/>
              <a:gd name="connsiteY97" fmla="*/ 83298 h 1648924"/>
              <a:gd name="connsiteX98" fmla="*/ 442914 w 1559720"/>
              <a:gd name="connsiteY98" fmla="*/ 98831 h 1648924"/>
              <a:gd name="connsiteX99" fmla="*/ 576263 w 1559720"/>
              <a:gd name="connsiteY99" fmla="*/ 329799 h 1648924"/>
              <a:gd name="connsiteX100" fmla="*/ 564061 w 1559720"/>
              <a:gd name="connsiteY100" fmla="*/ 375339 h 1648924"/>
              <a:gd name="connsiteX101" fmla="*/ 564062 w 1559720"/>
              <a:gd name="connsiteY101" fmla="*/ 375340 h 1648924"/>
              <a:gd name="connsiteX102" fmla="*/ 518522 w 1559720"/>
              <a:gd name="connsiteY102" fmla="*/ 363137 h 1648924"/>
              <a:gd name="connsiteX103" fmla="*/ 385171 w 1559720"/>
              <a:gd name="connsiteY103" fmla="*/ 132169 h 1648924"/>
              <a:gd name="connsiteX104" fmla="*/ 397373 w 1559720"/>
              <a:gd name="connsiteY104" fmla="*/ 86628 h 1648924"/>
              <a:gd name="connsiteX105" fmla="*/ 422671 w 1559720"/>
              <a:gd name="connsiteY105" fmla="*/ 83298 h 1648924"/>
              <a:gd name="connsiteX106" fmla="*/ 810420 w 1559720"/>
              <a:gd name="connsiteY106" fmla="*/ 0 h 1648924"/>
              <a:gd name="connsiteX107" fmla="*/ 843758 w 1559720"/>
              <a:gd name="connsiteY107" fmla="*/ 33338 h 1648924"/>
              <a:gd name="connsiteX108" fmla="*/ 843757 w 1559720"/>
              <a:gd name="connsiteY108" fmla="*/ 300038 h 1648924"/>
              <a:gd name="connsiteX109" fmla="*/ 810419 w 1559720"/>
              <a:gd name="connsiteY109" fmla="*/ 333376 h 1648924"/>
              <a:gd name="connsiteX110" fmla="*/ 810420 w 1559720"/>
              <a:gd name="connsiteY110" fmla="*/ 333375 h 1648924"/>
              <a:gd name="connsiteX111" fmla="*/ 777082 w 1559720"/>
              <a:gd name="connsiteY111" fmla="*/ 300037 h 1648924"/>
              <a:gd name="connsiteX112" fmla="*/ 777082 w 1559720"/>
              <a:gd name="connsiteY112" fmla="*/ 33338 h 1648924"/>
              <a:gd name="connsiteX113" fmla="*/ 810420 w 1559720"/>
              <a:gd name="connsiteY113" fmla="*/ 0 h 16489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  <a:cxn ang="0">
                <a:pos x="connsiteX109" y="connsiteY109"/>
              </a:cxn>
              <a:cxn ang="0">
                <a:pos x="connsiteX110" y="connsiteY110"/>
              </a:cxn>
              <a:cxn ang="0">
                <a:pos x="connsiteX111" y="connsiteY111"/>
              </a:cxn>
              <a:cxn ang="0">
                <a:pos x="connsiteX112" y="connsiteY112"/>
              </a:cxn>
              <a:cxn ang="0">
                <a:pos x="connsiteX113" y="connsiteY113"/>
              </a:cxn>
            </a:cxnLst>
            <a:rect l="l" t="t" r="r" b="b"/>
            <a:pathLst>
              <a:path w="1559720" h="1648924">
                <a:moveTo>
                  <a:pt x="964368" y="909272"/>
                </a:moveTo>
                <a:cubicBezTo>
                  <a:pt x="981103" y="909272"/>
                  <a:pt x="997837" y="915704"/>
                  <a:pt x="1010388" y="928567"/>
                </a:cubicBezTo>
                <a:cubicBezTo>
                  <a:pt x="1035489" y="954294"/>
                  <a:pt x="1035489" y="997173"/>
                  <a:pt x="1010388" y="1022900"/>
                </a:cubicBezTo>
                <a:cubicBezTo>
                  <a:pt x="951818" y="1091505"/>
                  <a:pt x="943450" y="1142959"/>
                  <a:pt x="943450" y="1168686"/>
                </a:cubicBezTo>
                <a:cubicBezTo>
                  <a:pt x="943450" y="1177262"/>
                  <a:pt x="943450" y="1177262"/>
                  <a:pt x="943450" y="1177262"/>
                </a:cubicBezTo>
                <a:cubicBezTo>
                  <a:pt x="943450" y="1177262"/>
                  <a:pt x="943450" y="1177262"/>
                  <a:pt x="951818" y="1177262"/>
                </a:cubicBezTo>
                <a:cubicBezTo>
                  <a:pt x="985286" y="1177262"/>
                  <a:pt x="1002020" y="1202989"/>
                  <a:pt x="1002020" y="1228716"/>
                </a:cubicBezTo>
                <a:cubicBezTo>
                  <a:pt x="1002020" y="1228716"/>
                  <a:pt x="1002020" y="1228716"/>
                  <a:pt x="1002020" y="1357351"/>
                </a:cubicBezTo>
                <a:cubicBezTo>
                  <a:pt x="1002020" y="1383078"/>
                  <a:pt x="985286" y="1408805"/>
                  <a:pt x="951818" y="1408805"/>
                </a:cubicBezTo>
                <a:cubicBezTo>
                  <a:pt x="951818" y="1408805"/>
                  <a:pt x="951818" y="1408805"/>
                  <a:pt x="918349" y="1408805"/>
                </a:cubicBezTo>
                <a:cubicBezTo>
                  <a:pt x="918349" y="1408805"/>
                  <a:pt x="918349" y="1408805"/>
                  <a:pt x="918349" y="1528865"/>
                </a:cubicBezTo>
                <a:cubicBezTo>
                  <a:pt x="918349" y="1597470"/>
                  <a:pt x="859779" y="1648924"/>
                  <a:pt x="792842" y="1648924"/>
                </a:cubicBezTo>
                <a:cubicBezTo>
                  <a:pt x="725905" y="1648924"/>
                  <a:pt x="667334" y="1597470"/>
                  <a:pt x="667334" y="1528865"/>
                </a:cubicBezTo>
                <a:cubicBezTo>
                  <a:pt x="667334" y="1528865"/>
                  <a:pt x="667334" y="1528865"/>
                  <a:pt x="667334" y="1408805"/>
                </a:cubicBezTo>
                <a:cubicBezTo>
                  <a:pt x="667334" y="1408805"/>
                  <a:pt x="667334" y="1408805"/>
                  <a:pt x="633866" y="1408805"/>
                </a:cubicBezTo>
                <a:cubicBezTo>
                  <a:pt x="600397" y="1408805"/>
                  <a:pt x="583663" y="1383078"/>
                  <a:pt x="583663" y="1357351"/>
                </a:cubicBezTo>
                <a:cubicBezTo>
                  <a:pt x="583663" y="1357351"/>
                  <a:pt x="583663" y="1357351"/>
                  <a:pt x="583663" y="1228716"/>
                </a:cubicBezTo>
                <a:cubicBezTo>
                  <a:pt x="583663" y="1202989"/>
                  <a:pt x="600397" y="1177262"/>
                  <a:pt x="633866" y="1177262"/>
                </a:cubicBezTo>
                <a:cubicBezTo>
                  <a:pt x="633866" y="1177262"/>
                  <a:pt x="633866" y="1177262"/>
                  <a:pt x="809576" y="1177262"/>
                </a:cubicBezTo>
                <a:cubicBezTo>
                  <a:pt x="809576" y="1177262"/>
                  <a:pt x="809576" y="1177262"/>
                  <a:pt x="809576" y="1168686"/>
                </a:cubicBezTo>
                <a:cubicBezTo>
                  <a:pt x="809576" y="1108657"/>
                  <a:pt x="834677" y="1022900"/>
                  <a:pt x="918349" y="928567"/>
                </a:cubicBezTo>
                <a:cubicBezTo>
                  <a:pt x="930899" y="915704"/>
                  <a:pt x="947634" y="909272"/>
                  <a:pt x="964368" y="909272"/>
                </a:cubicBezTo>
                <a:close/>
                <a:moveTo>
                  <a:pt x="1259683" y="719137"/>
                </a:moveTo>
                <a:lnTo>
                  <a:pt x="1526382" y="719137"/>
                </a:lnTo>
                <a:cubicBezTo>
                  <a:pt x="1544794" y="719137"/>
                  <a:pt x="1559720" y="734063"/>
                  <a:pt x="1559720" y="752475"/>
                </a:cubicBezTo>
                <a:cubicBezTo>
                  <a:pt x="1559720" y="770887"/>
                  <a:pt x="1544794" y="785813"/>
                  <a:pt x="1526382" y="785813"/>
                </a:cubicBezTo>
                <a:cubicBezTo>
                  <a:pt x="1437482" y="785813"/>
                  <a:pt x="1348582" y="785812"/>
                  <a:pt x="1259682" y="785812"/>
                </a:cubicBezTo>
                <a:cubicBezTo>
                  <a:pt x="1241270" y="785812"/>
                  <a:pt x="1226344" y="770886"/>
                  <a:pt x="1226344" y="752474"/>
                </a:cubicBezTo>
                <a:lnTo>
                  <a:pt x="1226345" y="752475"/>
                </a:lnTo>
                <a:cubicBezTo>
                  <a:pt x="1226345" y="734063"/>
                  <a:pt x="1241271" y="719137"/>
                  <a:pt x="1259683" y="719137"/>
                </a:cubicBezTo>
                <a:close/>
                <a:moveTo>
                  <a:pt x="33339" y="719137"/>
                </a:moveTo>
                <a:lnTo>
                  <a:pt x="300038" y="719137"/>
                </a:lnTo>
                <a:cubicBezTo>
                  <a:pt x="318450" y="719137"/>
                  <a:pt x="333376" y="734063"/>
                  <a:pt x="333376" y="752475"/>
                </a:cubicBezTo>
                <a:cubicBezTo>
                  <a:pt x="333376" y="770887"/>
                  <a:pt x="318450" y="785813"/>
                  <a:pt x="300038" y="785813"/>
                </a:cubicBezTo>
                <a:cubicBezTo>
                  <a:pt x="211138" y="785813"/>
                  <a:pt x="122238" y="785812"/>
                  <a:pt x="33338" y="785812"/>
                </a:cubicBezTo>
                <a:cubicBezTo>
                  <a:pt x="14926" y="785812"/>
                  <a:pt x="0" y="770886"/>
                  <a:pt x="0" y="752474"/>
                </a:cubicBezTo>
                <a:lnTo>
                  <a:pt x="1" y="752475"/>
                </a:lnTo>
                <a:cubicBezTo>
                  <a:pt x="1" y="734063"/>
                  <a:pt x="14927" y="719137"/>
                  <a:pt x="33339" y="719137"/>
                </a:cubicBezTo>
                <a:close/>
                <a:moveTo>
                  <a:pt x="1046163" y="716783"/>
                </a:moveTo>
                <a:cubicBezTo>
                  <a:pt x="1072561" y="715977"/>
                  <a:pt x="1097758" y="732083"/>
                  <a:pt x="1104066" y="757853"/>
                </a:cubicBezTo>
                <a:cubicBezTo>
                  <a:pt x="1120889" y="792212"/>
                  <a:pt x="1104066" y="835161"/>
                  <a:pt x="1070422" y="843751"/>
                </a:cubicBezTo>
                <a:lnTo>
                  <a:pt x="709003" y="989737"/>
                </a:lnTo>
                <a:cubicBezTo>
                  <a:pt x="767620" y="1019361"/>
                  <a:pt x="801460" y="1111419"/>
                  <a:pt x="793049" y="1135764"/>
                </a:cubicBezTo>
                <a:lnTo>
                  <a:pt x="658601" y="1135764"/>
                </a:lnTo>
                <a:cubicBezTo>
                  <a:pt x="650190" y="1109995"/>
                  <a:pt x="641779" y="1101405"/>
                  <a:pt x="616545" y="1084225"/>
                </a:cubicBezTo>
                <a:cubicBezTo>
                  <a:pt x="591377" y="1067045"/>
                  <a:pt x="549321" y="1058456"/>
                  <a:pt x="540910" y="1058456"/>
                </a:cubicBezTo>
                <a:lnTo>
                  <a:pt x="532499" y="1058456"/>
                </a:lnTo>
                <a:lnTo>
                  <a:pt x="524088" y="1058456"/>
                </a:lnTo>
                <a:cubicBezTo>
                  <a:pt x="498919" y="1058456"/>
                  <a:pt x="473686" y="1041276"/>
                  <a:pt x="465275" y="1015506"/>
                </a:cubicBezTo>
                <a:cubicBezTo>
                  <a:pt x="448452" y="981147"/>
                  <a:pt x="465275" y="946787"/>
                  <a:pt x="498919" y="929608"/>
                </a:cubicBezTo>
                <a:lnTo>
                  <a:pt x="1020020" y="723493"/>
                </a:lnTo>
                <a:cubicBezTo>
                  <a:pt x="1028431" y="719198"/>
                  <a:pt x="1037364" y="717051"/>
                  <a:pt x="1046163" y="716783"/>
                </a:cubicBezTo>
                <a:close/>
                <a:moveTo>
                  <a:pt x="1046147" y="509357"/>
                </a:moveTo>
                <a:cubicBezTo>
                  <a:pt x="1072544" y="508550"/>
                  <a:pt x="1097759" y="524694"/>
                  <a:pt x="1104063" y="550525"/>
                </a:cubicBezTo>
                <a:cubicBezTo>
                  <a:pt x="1120873" y="584967"/>
                  <a:pt x="1104063" y="628018"/>
                  <a:pt x="1070443" y="636629"/>
                </a:cubicBezTo>
                <a:cubicBezTo>
                  <a:pt x="549331" y="851888"/>
                  <a:pt x="549331" y="851888"/>
                  <a:pt x="549331" y="851888"/>
                </a:cubicBezTo>
                <a:cubicBezTo>
                  <a:pt x="540926" y="851888"/>
                  <a:pt x="532521" y="851888"/>
                  <a:pt x="524116" y="851888"/>
                </a:cubicBezTo>
                <a:cubicBezTo>
                  <a:pt x="498901" y="851888"/>
                  <a:pt x="473686" y="834667"/>
                  <a:pt x="465281" y="808836"/>
                </a:cubicBezTo>
                <a:cubicBezTo>
                  <a:pt x="448471" y="774395"/>
                  <a:pt x="465281" y="739953"/>
                  <a:pt x="498901" y="722733"/>
                </a:cubicBezTo>
                <a:cubicBezTo>
                  <a:pt x="1020013" y="516084"/>
                  <a:pt x="1020013" y="516084"/>
                  <a:pt x="1020013" y="516084"/>
                </a:cubicBezTo>
                <a:cubicBezTo>
                  <a:pt x="1028418" y="511778"/>
                  <a:pt x="1037348" y="509626"/>
                  <a:pt x="1046147" y="509357"/>
                </a:cubicBezTo>
                <a:close/>
                <a:moveTo>
                  <a:pt x="893327" y="389199"/>
                </a:moveTo>
                <a:cubicBezTo>
                  <a:pt x="917735" y="388396"/>
                  <a:pt x="939781" y="404452"/>
                  <a:pt x="952379" y="430142"/>
                </a:cubicBezTo>
                <a:cubicBezTo>
                  <a:pt x="960777" y="464396"/>
                  <a:pt x="943980" y="507213"/>
                  <a:pt x="910386" y="515776"/>
                </a:cubicBezTo>
                <a:cubicBezTo>
                  <a:pt x="549253" y="661353"/>
                  <a:pt x="549253" y="661353"/>
                  <a:pt x="549253" y="661353"/>
                </a:cubicBezTo>
                <a:cubicBezTo>
                  <a:pt x="540854" y="669917"/>
                  <a:pt x="532456" y="669917"/>
                  <a:pt x="524057" y="669917"/>
                </a:cubicBezTo>
                <a:cubicBezTo>
                  <a:pt x="498862" y="669917"/>
                  <a:pt x="473666" y="652790"/>
                  <a:pt x="465268" y="627100"/>
                </a:cubicBezTo>
                <a:cubicBezTo>
                  <a:pt x="448471" y="592846"/>
                  <a:pt x="465268" y="558593"/>
                  <a:pt x="498862" y="541466"/>
                </a:cubicBezTo>
                <a:cubicBezTo>
                  <a:pt x="868394" y="395889"/>
                  <a:pt x="868394" y="395889"/>
                  <a:pt x="868394" y="395889"/>
                </a:cubicBezTo>
                <a:cubicBezTo>
                  <a:pt x="876792" y="391607"/>
                  <a:pt x="885191" y="389466"/>
                  <a:pt x="893327" y="389199"/>
                </a:cubicBezTo>
                <a:close/>
                <a:moveTo>
                  <a:pt x="1447793" y="334513"/>
                </a:moveTo>
                <a:cubicBezTo>
                  <a:pt x="1456034" y="336721"/>
                  <a:pt x="1463433" y="342074"/>
                  <a:pt x="1468036" y="350046"/>
                </a:cubicBezTo>
                <a:cubicBezTo>
                  <a:pt x="1477242" y="365991"/>
                  <a:pt x="1471779" y="386381"/>
                  <a:pt x="1455834" y="395587"/>
                </a:cubicBezTo>
                <a:cubicBezTo>
                  <a:pt x="1378844" y="440037"/>
                  <a:pt x="1301854" y="484486"/>
                  <a:pt x="1224864" y="528936"/>
                </a:cubicBezTo>
                <a:cubicBezTo>
                  <a:pt x="1208919" y="538142"/>
                  <a:pt x="1188530" y="532678"/>
                  <a:pt x="1179324" y="516733"/>
                </a:cubicBezTo>
                <a:lnTo>
                  <a:pt x="1179325" y="516734"/>
                </a:lnTo>
                <a:cubicBezTo>
                  <a:pt x="1170119" y="500788"/>
                  <a:pt x="1175582" y="480399"/>
                  <a:pt x="1191528" y="471193"/>
                </a:cubicBezTo>
                <a:lnTo>
                  <a:pt x="1422496" y="337844"/>
                </a:lnTo>
                <a:cubicBezTo>
                  <a:pt x="1430468" y="333241"/>
                  <a:pt x="1439552" y="332305"/>
                  <a:pt x="1447793" y="334513"/>
                </a:cubicBezTo>
                <a:close/>
                <a:moveTo>
                  <a:pt x="151169" y="334513"/>
                </a:moveTo>
                <a:cubicBezTo>
                  <a:pt x="159410" y="332305"/>
                  <a:pt x="168494" y="333241"/>
                  <a:pt x="176466" y="337844"/>
                </a:cubicBezTo>
                <a:lnTo>
                  <a:pt x="407434" y="471193"/>
                </a:lnTo>
                <a:cubicBezTo>
                  <a:pt x="423380" y="480399"/>
                  <a:pt x="428843" y="500788"/>
                  <a:pt x="419637" y="516734"/>
                </a:cubicBezTo>
                <a:lnTo>
                  <a:pt x="419638" y="516733"/>
                </a:lnTo>
                <a:cubicBezTo>
                  <a:pt x="410432" y="532678"/>
                  <a:pt x="390043" y="538142"/>
                  <a:pt x="374098" y="528936"/>
                </a:cubicBezTo>
                <a:cubicBezTo>
                  <a:pt x="297108" y="484486"/>
                  <a:pt x="220118" y="440037"/>
                  <a:pt x="143128" y="395587"/>
                </a:cubicBezTo>
                <a:cubicBezTo>
                  <a:pt x="127183" y="386381"/>
                  <a:pt x="121720" y="365991"/>
                  <a:pt x="130926" y="350046"/>
                </a:cubicBezTo>
                <a:cubicBezTo>
                  <a:pt x="135529" y="342074"/>
                  <a:pt x="142928" y="336721"/>
                  <a:pt x="151169" y="334513"/>
                </a:cubicBezTo>
                <a:close/>
                <a:moveTo>
                  <a:pt x="1176291" y="83298"/>
                </a:moveTo>
                <a:cubicBezTo>
                  <a:pt x="1184532" y="81089"/>
                  <a:pt x="1193616" y="82025"/>
                  <a:pt x="1201589" y="86628"/>
                </a:cubicBezTo>
                <a:cubicBezTo>
                  <a:pt x="1217534" y="95834"/>
                  <a:pt x="1222997" y="116223"/>
                  <a:pt x="1213791" y="132169"/>
                </a:cubicBezTo>
                <a:cubicBezTo>
                  <a:pt x="1169341" y="209158"/>
                  <a:pt x="1124890" y="286147"/>
                  <a:pt x="1080440" y="363137"/>
                </a:cubicBezTo>
                <a:cubicBezTo>
                  <a:pt x="1071234" y="379082"/>
                  <a:pt x="1050845" y="384546"/>
                  <a:pt x="1034900" y="375340"/>
                </a:cubicBezTo>
                <a:lnTo>
                  <a:pt x="1034901" y="375339"/>
                </a:lnTo>
                <a:cubicBezTo>
                  <a:pt x="1018956" y="366133"/>
                  <a:pt x="1013493" y="345744"/>
                  <a:pt x="1022699" y="329799"/>
                </a:cubicBezTo>
                <a:lnTo>
                  <a:pt x="1156048" y="98831"/>
                </a:lnTo>
                <a:cubicBezTo>
                  <a:pt x="1160651" y="90858"/>
                  <a:pt x="1168050" y="85506"/>
                  <a:pt x="1176291" y="83298"/>
                </a:cubicBezTo>
                <a:close/>
                <a:moveTo>
                  <a:pt x="422671" y="83298"/>
                </a:moveTo>
                <a:cubicBezTo>
                  <a:pt x="430912" y="85506"/>
                  <a:pt x="438311" y="90858"/>
                  <a:pt x="442914" y="98831"/>
                </a:cubicBezTo>
                <a:lnTo>
                  <a:pt x="576263" y="329799"/>
                </a:lnTo>
                <a:cubicBezTo>
                  <a:pt x="585469" y="345744"/>
                  <a:pt x="580006" y="366133"/>
                  <a:pt x="564061" y="375339"/>
                </a:cubicBezTo>
                <a:lnTo>
                  <a:pt x="564062" y="375340"/>
                </a:lnTo>
                <a:cubicBezTo>
                  <a:pt x="548117" y="384546"/>
                  <a:pt x="527728" y="379082"/>
                  <a:pt x="518522" y="363137"/>
                </a:cubicBezTo>
                <a:cubicBezTo>
                  <a:pt x="474072" y="286147"/>
                  <a:pt x="429621" y="209158"/>
                  <a:pt x="385171" y="132169"/>
                </a:cubicBezTo>
                <a:cubicBezTo>
                  <a:pt x="375965" y="116223"/>
                  <a:pt x="381428" y="95834"/>
                  <a:pt x="397373" y="86628"/>
                </a:cubicBezTo>
                <a:cubicBezTo>
                  <a:pt x="405346" y="82025"/>
                  <a:pt x="414430" y="81089"/>
                  <a:pt x="422671" y="83298"/>
                </a:cubicBezTo>
                <a:close/>
                <a:moveTo>
                  <a:pt x="810420" y="0"/>
                </a:moveTo>
                <a:cubicBezTo>
                  <a:pt x="828832" y="0"/>
                  <a:pt x="843758" y="14926"/>
                  <a:pt x="843758" y="33338"/>
                </a:cubicBezTo>
                <a:cubicBezTo>
                  <a:pt x="843758" y="122238"/>
                  <a:pt x="843757" y="211138"/>
                  <a:pt x="843757" y="300038"/>
                </a:cubicBezTo>
                <a:cubicBezTo>
                  <a:pt x="843757" y="318450"/>
                  <a:pt x="828831" y="333376"/>
                  <a:pt x="810419" y="333376"/>
                </a:cubicBezTo>
                <a:lnTo>
                  <a:pt x="810420" y="333375"/>
                </a:lnTo>
                <a:cubicBezTo>
                  <a:pt x="792008" y="333375"/>
                  <a:pt x="777082" y="318449"/>
                  <a:pt x="777082" y="300037"/>
                </a:cubicBezTo>
                <a:lnTo>
                  <a:pt x="777082" y="33338"/>
                </a:lnTo>
                <a:cubicBezTo>
                  <a:pt x="777082" y="14926"/>
                  <a:pt x="792008" y="0"/>
                  <a:pt x="810420" y="0"/>
                </a:cubicBezTo>
                <a:close/>
              </a:path>
            </a:pathLst>
          </a:custGeom>
          <a:solidFill>
            <a:srgbClr val="FAC85F"/>
          </a:solidFill>
          <a:ln>
            <a:noFill/>
          </a:ln>
        </xdr:spPr>
        <xdr:txBody>
          <a:bodyPr vert="horz" wrap="square" lIns="66675" tIns="33338" rIns="66675" bIns="33338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914309" rtl="0" eaLnBrk="1" latinLnBrk="0" hangingPunct="1">
              <a:defRPr lang="en-CA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154" algn="l" defTabSz="914309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309" algn="l" defTabSz="914309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463" algn="l" defTabSz="914309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618" algn="l" defTabSz="914309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5772" algn="l" defTabSz="914309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2927" algn="l" defTabSz="914309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081" algn="l" defTabSz="914309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236" algn="l" defTabSz="914309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 sz="600"/>
          </a:p>
        </xdr:txBody>
      </xdr:sp>
      <xdr:sp macro="" textlink="">
        <xdr:nvSpPr>
          <xdr:cNvPr id="20" name="Freeform 142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/>
        </xdr:nvSpPr>
        <xdr:spPr>
          <a:xfrm>
            <a:off x="5419550" y="4119647"/>
            <a:ext cx="397313" cy="402900"/>
          </a:xfrm>
          <a:custGeom>
            <a:avLst/>
            <a:gdLst>
              <a:gd name="connsiteX0" fmla="*/ 773043 w 1605897"/>
              <a:gd name="connsiteY0" fmla="*/ 627341 h 1629994"/>
              <a:gd name="connsiteX1" fmla="*/ 823966 w 1605897"/>
              <a:gd name="connsiteY1" fmla="*/ 706895 h 1629994"/>
              <a:gd name="connsiteX2" fmla="*/ 204913 w 1605897"/>
              <a:gd name="connsiteY2" fmla="*/ 1103151 h 1629994"/>
              <a:gd name="connsiteX3" fmla="*/ 153990 w 1605897"/>
              <a:gd name="connsiteY3" fmla="*/ 1023597 h 1629994"/>
              <a:gd name="connsiteX4" fmla="*/ 68231 w 1605897"/>
              <a:gd name="connsiteY4" fmla="*/ 492577 h 1629994"/>
              <a:gd name="connsiteX5" fmla="*/ 151235 w 1605897"/>
              <a:gd name="connsiteY5" fmla="*/ 529252 h 1629994"/>
              <a:gd name="connsiteX6" fmla="*/ 355662 w 1605897"/>
              <a:gd name="connsiteY6" fmla="*/ 848620 h 1629994"/>
              <a:gd name="connsiteX7" fmla="*/ 217215 w 1605897"/>
              <a:gd name="connsiteY7" fmla="*/ 936859 h 1629994"/>
              <a:gd name="connsiteX8" fmla="*/ 12960 w 1605897"/>
              <a:gd name="connsiteY8" fmla="*/ 617761 h 1629994"/>
              <a:gd name="connsiteX9" fmla="*/ 37843 w 1605897"/>
              <a:gd name="connsiteY9" fmla="*/ 504369 h 1629994"/>
              <a:gd name="connsiteX10" fmla="*/ 68231 w 1605897"/>
              <a:gd name="connsiteY10" fmla="*/ 492577 h 1629994"/>
              <a:gd name="connsiteX11" fmla="*/ 382436 w 1605897"/>
              <a:gd name="connsiteY11" fmla="*/ 291454 h 1629994"/>
              <a:gd name="connsiteX12" fmla="*/ 465440 w 1605897"/>
              <a:gd name="connsiteY12" fmla="*/ 328129 h 1629994"/>
              <a:gd name="connsiteX13" fmla="*/ 669867 w 1605897"/>
              <a:gd name="connsiteY13" fmla="*/ 647497 h 1629994"/>
              <a:gd name="connsiteX14" fmla="*/ 531420 w 1605897"/>
              <a:gd name="connsiteY14" fmla="*/ 735736 h 1629994"/>
              <a:gd name="connsiteX15" fmla="*/ 327165 w 1605897"/>
              <a:gd name="connsiteY15" fmla="*/ 416638 h 1629994"/>
              <a:gd name="connsiteX16" fmla="*/ 352048 w 1605897"/>
              <a:gd name="connsiteY16" fmla="*/ 303246 h 1629994"/>
              <a:gd name="connsiteX17" fmla="*/ 382436 w 1605897"/>
              <a:gd name="connsiteY17" fmla="*/ 291454 h 1629994"/>
              <a:gd name="connsiteX18" fmla="*/ 1143813 w 1605897"/>
              <a:gd name="connsiteY18" fmla="*/ 0 h 1629994"/>
              <a:gd name="connsiteX19" fmla="*/ 1253644 w 1605897"/>
              <a:gd name="connsiteY19" fmla="*/ 25823 h 1629994"/>
              <a:gd name="connsiteX20" fmla="*/ 1231644 w 1605897"/>
              <a:gd name="connsiteY20" fmla="*/ 423822 h 1629994"/>
              <a:gd name="connsiteX21" fmla="*/ 1444693 w 1605897"/>
              <a:gd name="connsiteY21" fmla="*/ 1543372 h 1629994"/>
              <a:gd name="connsiteX22" fmla="*/ 825940 w 1605897"/>
              <a:gd name="connsiteY22" fmla="*/ 1451538 h 1629994"/>
              <a:gd name="connsiteX23" fmla="*/ 760077 w 1605897"/>
              <a:gd name="connsiteY23" fmla="*/ 1371975 h 1629994"/>
              <a:gd name="connsiteX24" fmla="*/ 710838 w 1605897"/>
              <a:gd name="connsiteY24" fmla="*/ 1403493 h 1629994"/>
              <a:gd name="connsiteX25" fmla="*/ 666433 w 1605897"/>
              <a:gd name="connsiteY25" fmla="*/ 1334120 h 1629994"/>
              <a:gd name="connsiteX26" fmla="*/ 627005 w 1605897"/>
              <a:gd name="connsiteY26" fmla="*/ 1344137 h 1629994"/>
              <a:gd name="connsiteX27" fmla="*/ 242672 w 1605897"/>
              <a:gd name="connsiteY27" fmla="*/ 1160055 h 1629994"/>
              <a:gd name="connsiteX28" fmla="*/ 227449 w 1605897"/>
              <a:gd name="connsiteY28" fmla="*/ 1130486 h 1629994"/>
              <a:gd name="connsiteX29" fmla="*/ 841247 w 1605897"/>
              <a:gd name="connsiteY29" fmla="*/ 737593 h 1629994"/>
              <a:gd name="connsiteX30" fmla="*/ 861725 w 1605897"/>
              <a:gd name="connsiteY30" fmla="*/ 763799 h 1629994"/>
              <a:gd name="connsiteX31" fmla="*/ 867968 w 1605897"/>
              <a:gd name="connsiteY31" fmla="*/ 1189896 h 1629994"/>
              <a:gd name="connsiteX32" fmla="*/ 842363 w 1605897"/>
              <a:gd name="connsiteY32" fmla="*/ 1221507 h 1629994"/>
              <a:gd name="connsiteX33" fmla="*/ 886769 w 1605897"/>
              <a:gd name="connsiteY33" fmla="*/ 1290879 h 1629994"/>
              <a:gd name="connsiteX34" fmla="*/ 849265 w 1605897"/>
              <a:gd name="connsiteY34" fmla="*/ 1314885 h 1629994"/>
              <a:gd name="connsiteX35" fmla="*/ 890016 w 1605897"/>
              <a:gd name="connsiteY35" fmla="*/ 1366976 h 1629994"/>
              <a:gd name="connsiteX36" fmla="*/ 1394625 w 1605897"/>
              <a:gd name="connsiteY36" fmla="*/ 1465155 h 1629994"/>
              <a:gd name="connsiteX37" fmla="*/ 1116646 w 1605897"/>
              <a:gd name="connsiteY37" fmla="*/ 430175 h 1629994"/>
              <a:gd name="connsiteX38" fmla="*/ 1143813 w 1605897"/>
              <a:gd name="connsiteY38" fmla="*/ 0 h 1629994"/>
              <a:gd name="connsiteX0" fmla="*/ 773043 w 1605897"/>
              <a:gd name="connsiteY0" fmla="*/ 627341 h 1618687"/>
              <a:gd name="connsiteX1" fmla="*/ 823966 w 1605897"/>
              <a:gd name="connsiteY1" fmla="*/ 706895 h 1618687"/>
              <a:gd name="connsiteX2" fmla="*/ 204913 w 1605897"/>
              <a:gd name="connsiteY2" fmla="*/ 1103151 h 1618687"/>
              <a:gd name="connsiteX3" fmla="*/ 153990 w 1605897"/>
              <a:gd name="connsiteY3" fmla="*/ 1023597 h 1618687"/>
              <a:gd name="connsiteX4" fmla="*/ 773043 w 1605897"/>
              <a:gd name="connsiteY4" fmla="*/ 627341 h 1618687"/>
              <a:gd name="connsiteX5" fmla="*/ 68231 w 1605897"/>
              <a:gd name="connsiteY5" fmla="*/ 492577 h 1618687"/>
              <a:gd name="connsiteX6" fmla="*/ 151235 w 1605897"/>
              <a:gd name="connsiteY6" fmla="*/ 529252 h 1618687"/>
              <a:gd name="connsiteX7" fmla="*/ 355662 w 1605897"/>
              <a:gd name="connsiteY7" fmla="*/ 848620 h 1618687"/>
              <a:gd name="connsiteX8" fmla="*/ 217215 w 1605897"/>
              <a:gd name="connsiteY8" fmla="*/ 936859 h 1618687"/>
              <a:gd name="connsiteX9" fmla="*/ 12960 w 1605897"/>
              <a:gd name="connsiteY9" fmla="*/ 617761 h 1618687"/>
              <a:gd name="connsiteX10" fmla="*/ 37843 w 1605897"/>
              <a:gd name="connsiteY10" fmla="*/ 504369 h 1618687"/>
              <a:gd name="connsiteX11" fmla="*/ 68231 w 1605897"/>
              <a:gd name="connsiteY11" fmla="*/ 492577 h 1618687"/>
              <a:gd name="connsiteX12" fmla="*/ 382436 w 1605897"/>
              <a:gd name="connsiteY12" fmla="*/ 291454 h 1618687"/>
              <a:gd name="connsiteX13" fmla="*/ 465440 w 1605897"/>
              <a:gd name="connsiteY13" fmla="*/ 328129 h 1618687"/>
              <a:gd name="connsiteX14" fmla="*/ 669867 w 1605897"/>
              <a:gd name="connsiteY14" fmla="*/ 647497 h 1618687"/>
              <a:gd name="connsiteX15" fmla="*/ 531420 w 1605897"/>
              <a:gd name="connsiteY15" fmla="*/ 735736 h 1618687"/>
              <a:gd name="connsiteX16" fmla="*/ 327165 w 1605897"/>
              <a:gd name="connsiteY16" fmla="*/ 416638 h 1618687"/>
              <a:gd name="connsiteX17" fmla="*/ 352048 w 1605897"/>
              <a:gd name="connsiteY17" fmla="*/ 303246 h 1618687"/>
              <a:gd name="connsiteX18" fmla="*/ 382436 w 1605897"/>
              <a:gd name="connsiteY18" fmla="*/ 291454 h 1618687"/>
              <a:gd name="connsiteX19" fmla="*/ 1143813 w 1605897"/>
              <a:gd name="connsiteY19" fmla="*/ 0 h 1618687"/>
              <a:gd name="connsiteX20" fmla="*/ 1253644 w 1605897"/>
              <a:gd name="connsiteY20" fmla="*/ 25823 h 1618687"/>
              <a:gd name="connsiteX21" fmla="*/ 1231644 w 1605897"/>
              <a:gd name="connsiteY21" fmla="*/ 423822 h 1618687"/>
              <a:gd name="connsiteX22" fmla="*/ 1444693 w 1605897"/>
              <a:gd name="connsiteY22" fmla="*/ 1543372 h 1618687"/>
              <a:gd name="connsiteX23" fmla="*/ 825940 w 1605897"/>
              <a:gd name="connsiteY23" fmla="*/ 1451538 h 1618687"/>
              <a:gd name="connsiteX24" fmla="*/ 760077 w 1605897"/>
              <a:gd name="connsiteY24" fmla="*/ 1371975 h 1618687"/>
              <a:gd name="connsiteX25" fmla="*/ 710838 w 1605897"/>
              <a:gd name="connsiteY25" fmla="*/ 1403493 h 1618687"/>
              <a:gd name="connsiteX26" fmla="*/ 666433 w 1605897"/>
              <a:gd name="connsiteY26" fmla="*/ 1334120 h 1618687"/>
              <a:gd name="connsiteX27" fmla="*/ 627005 w 1605897"/>
              <a:gd name="connsiteY27" fmla="*/ 1344137 h 1618687"/>
              <a:gd name="connsiteX28" fmla="*/ 242672 w 1605897"/>
              <a:gd name="connsiteY28" fmla="*/ 1160055 h 1618687"/>
              <a:gd name="connsiteX29" fmla="*/ 227449 w 1605897"/>
              <a:gd name="connsiteY29" fmla="*/ 1130486 h 1618687"/>
              <a:gd name="connsiteX30" fmla="*/ 841247 w 1605897"/>
              <a:gd name="connsiteY30" fmla="*/ 737593 h 1618687"/>
              <a:gd name="connsiteX31" fmla="*/ 861725 w 1605897"/>
              <a:gd name="connsiteY31" fmla="*/ 763799 h 1618687"/>
              <a:gd name="connsiteX32" fmla="*/ 867968 w 1605897"/>
              <a:gd name="connsiteY32" fmla="*/ 1189896 h 1618687"/>
              <a:gd name="connsiteX33" fmla="*/ 842363 w 1605897"/>
              <a:gd name="connsiteY33" fmla="*/ 1221507 h 1618687"/>
              <a:gd name="connsiteX34" fmla="*/ 886769 w 1605897"/>
              <a:gd name="connsiteY34" fmla="*/ 1290879 h 1618687"/>
              <a:gd name="connsiteX35" fmla="*/ 849265 w 1605897"/>
              <a:gd name="connsiteY35" fmla="*/ 1314885 h 1618687"/>
              <a:gd name="connsiteX36" fmla="*/ 890016 w 1605897"/>
              <a:gd name="connsiteY36" fmla="*/ 1366976 h 1618687"/>
              <a:gd name="connsiteX37" fmla="*/ 1394625 w 1605897"/>
              <a:gd name="connsiteY37" fmla="*/ 1465155 h 1618687"/>
              <a:gd name="connsiteX38" fmla="*/ 1116646 w 1605897"/>
              <a:gd name="connsiteY38" fmla="*/ 430175 h 1618687"/>
              <a:gd name="connsiteX39" fmla="*/ 1143813 w 1605897"/>
              <a:gd name="connsiteY39" fmla="*/ 0 h 1618687"/>
              <a:gd name="connsiteX0" fmla="*/ 773043 w 1605897"/>
              <a:gd name="connsiteY0" fmla="*/ 627341 h 1621761"/>
              <a:gd name="connsiteX1" fmla="*/ 823966 w 1605897"/>
              <a:gd name="connsiteY1" fmla="*/ 706895 h 1621761"/>
              <a:gd name="connsiteX2" fmla="*/ 204913 w 1605897"/>
              <a:gd name="connsiteY2" fmla="*/ 1103151 h 1621761"/>
              <a:gd name="connsiteX3" fmla="*/ 153990 w 1605897"/>
              <a:gd name="connsiteY3" fmla="*/ 1023597 h 1621761"/>
              <a:gd name="connsiteX4" fmla="*/ 773043 w 1605897"/>
              <a:gd name="connsiteY4" fmla="*/ 627341 h 1621761"/>
              <a:gd name="connsiteX5" fmla="*/ 68231 w 1605897"/>
              <a:gd name="connsiteY5" fmla="*/ 492577 h 1621761"/>
              <a:gd name="connsiteX6" fmla="*/ 151235 w 1605897"/>
              <a:gd name="connsiteY6" fmla="*/ 529252 h 1621761"/>
              <a:gd name="connsiteX7" fmla="*/ 355662 w 1605897"/>
              <a:gd name="connsiteY7" fmla="*/ 848620 h 1621761"/>
              <a:gd name="connsiteX8" fmla="*/ 217215 w 1605897"/>
              <a:gd name="connsiteY8" fmla="*/ 936859 h 1621761"/>
              <a:gd name="connsiteX9" fmla="*/ 12960 w 1605897"/>
              <a:gd name="connsiteY9" fmla="*/ 617761 h 1621761"/>
              <a:gd name="connsiteX10" fmla="*/ 37843 w 1605897"/>
              <a:gd name="connsiteY10" fmla="*/ 504369 h 1621761"/>
              <a:gd name="connsiteX11" fmla="*/ 68231 w 1605897"/>
              <a:gd name="connsiteY11" fmla="*/ 492577 h 1621761"/>
              <a:gd name="connsiteX12" fmla="*/ 382436 w 1605897"/>
              <a:gd name="connsiteY12" fmla="*/ 291454 h 1621761"/>
              <a:gd name="connsiteX13" fmla="*/ 465440 w 1605897"/>
              <a:gd name="connsiteY13" fmla="*/ 328129 h 1621761"/>
              <a:gd name="connsiteX14" fmla="*/ 669867 w 1605897"/>
              <a:gd name="connsiteY14" fmla="*/ 647497 h 1621761"/>
              <a:gd name="connsiteX15" fmla="*/ 531420 w 1605897"/>
              <a:gd name="connsiteY15" fmla="*/ 735736 h 1621761"/>
              <a:gd name="connsiteX16" fmla="*/ 327165 w 1605897"/>
              <a:gd name="connsiteY16" fmla="*/ 416638 h 1621761"/>
              <a:gd name="connsiteX17" fmla="*/ 352048 w 1605897"/>
              <a:gd name="connsiteY17" fmla="*/ 303246 h 1621761"/>
              <a:gd name="connsiteX18" fmla="*/ 382436 w 1605897"/>
              <a:gd name="connsiteY18" fmla="*/ 291454 h 1621761"/>
              <a:gd name="connsiteX19" fmla="*/ 1143813 w 1605897"/>
              <a:gd name="connsiteY19" fmla="*/ 0 h 1621761"/>
              <a:gd name="connsiteX20" fmla="*/ 1253644 w 1605897"/>
              <a:gd name="connsiteY20" fmla="*/ 25823 h 1621761"/>
              <a:gd name="connsiteX21" fmla="*/ 1231644 w 1605897"/>
              <a:gd name="connsiteY21" fmla="*/ 423822 h 1621761"/>
              <a:gd name="connsiteX22" fmla="*/ 1444693 w 1605897"/>
              <a:gd name="connsiteY22" fmla="*/ 1543372 h 1621761"/>
              <a:gd name="connsiteX23" fmla="*/ 825940 w 1605897"/>
              <a:gd name="connsiteY23" fmla="*/ 1451538 h 1621761"/>
              <a:gd name="connsiteX24" fmla="*/ 760077 w 1605897"/>
              <a:gd name="connsiteY24" fmla="*/ 1371975 h 1621761"/>
              <a:gd name="connsiteX25" fmla="*/ 710838 w 1605897"/>
              <a:gd name="connsiteY25" fmla="*/ 1403493 h 1621761"/>
              <a:gd name="connsiteX26" fmla="*/ 666433 w 1605897"/>
              <a:gd name="connsiteY26" fmla="*/ 1334120 h 1621761"/>
              <a:gd name="connsiteX27" fmla="*/ 627005 w 1605897"/>
              <a:gd name="connsiteY27" fmla="*/ 1344137 h 1621761"/>
              <a:gd name="connsiteX28" fmla="*/ 242672 w 1605897"/>
              <a:gd name="connsiteY28" fmla="*/ 1160055 h 1621761"/>
              <a:gd name="connsiteX29" fmla="*/ 227449 w 1605897"/>
              <a:gd name="connsiteY29" fmla="*/ 1130486 h 1621761"/>
              <a:gd name="connsiteX30" fmla="*/ 841247 w 1605897"/>
              <a:gd name="connsiteY30" fmla="*/ 737593 h 1621761"/>
              <a:gd name="connsiteX31" fmla="*/ 861725 w 1605897"/>
              <a:gd name="connsiteY31" fmla="*/ 763799 h 1621761"/>
              <a:gd name="connsiteX32" fmla="*/ 867968 w 1605897"/>
              <a:gd name="connsiteY32" fmla="*/ 1189896 h 1621761"/>
              <a:gd name="connsiteX33" fmla="*/ 842363 w 1605897"/>
              <a:gd name="connsiteY33" fmla="*/ 1221507 h 1621761"/>
              <a:gd name="connsiteX34" fmla="*/ 886769 w 1605897"/>
              <a:gd name="connsiteY34" fmla="*/ 1290879 h 1621761"/>
              <a:gd name="connsiteX35" fmla="*/ 849265 w 1605897"/>
              <a:gd name="connsiteY35" fmla="*/ 1314885 h 1621761"/>
              <a:gd name="connsiteX36" fmla="*/ 890016 w 1605897"/>
              <a:gd name="connsiteY36" fmla="*/ 1366976 h 1621761"/>
              <a:gd name="connsiteX37" fmla="*/ 1394625 w 1605897"/>
              <a:gd name="connsiteY37" fmla="*/ 1465155 h 1621761"/>
              <a:gd name="connsiteX38" fmla="*/ 1116646 w 1605897"/>
              <a:gd name="connsiteY38" fmla="*/ 430175 h 1621761"/>
              <a:gd name="connsiteX39" fmla="*/ 1143813 w 1605897"/>
              <a:gd name="connsiteY39" fmla="*/ 0 h 1621761"/>
              <a:gd name="connsiteX0" fmla="*/ 773043 w 1605897"/>
              <a:gd name="connsiteY0" fmla="*/ 627341 h 1622788"/>
              <a:gd name="connsiteX1" fmla="*/ 823966 w 1605897"/>
              <a:gd name="connsiteY1" fmla="*/ 706895 h 1622788"/>
              <a:gd name="connsiteX2" fmla="*/ 204913 w 1605897"/>
              <a:gd name="connsiteY2" fmla="*/ 1103151 h 1622788"/>
              <a:gd name="connsiteX3" fmla="*/ 153990 w 1605897"/>
              <a:gd name="connsiteY3" fmla="*/ 1023597 h 1622788"/>
              <a:gd name="connsiteX4" fmla="*/ 773043 w 1605897"/>
              <a:gd name="connsiteY4" fmla="*/ 627341 h 1622788"/>
              <a:gd name="connsiteX5" fmla="*/ 68231 w 1605897"/>
              <a:gd name="connsiteY5" fmla="*/ 492577 h 1622788"/>
              <a:gd name="connsiteX6" fmla="*/ 151235 w 1605897"/>
              <a:gd name="connsiteY6" fmla="*/ 529252 h 1622788"/>
              <a:gd name="connsiteX7" fmla="*/ 355662 w 1605897"/>
              <a:gd name="connsiteY7" fmla="*/ 848620 h 1622788"/>
              <a:gd name="connsiteX8" fmla="*/ 217215 w 1605897"/>
              <a:gd name="connsiteY8" fmla="*/ 936859 h 1622788"/>
              <a:gd name="connsiteX9" fmla="*/ 12960 w 1605897"/>
              <a:gd name="connsiteY9" fmla="*/ 617761 h 1622788"/>
              <a:gd name="connsiteX10" fmla="*/ 37843 w 1605897"/>
              <a:gd name="connsiteY10" fmla="*/ 504369 h 1622788"/>
              <a:gd name="connsiteX11" fmla="*/ 68231 w 1605897"/>
              <a:gd name="connsiteY11" fmla="*/ 492577 h 1622788"/>
              <a:gd name="connsiteX12" fmla="*/ 382436 w 1605897"/>
              <a:gd name="connsiteY12" fmla="*/ 291454 h 1622788"/>
              <a:gd name="connsiteX13" fmla="*/ 465440 w 1605897"/>
              <a:gd name="connsiteY13" fmla="*/ 328129 h 1622788"/>
              <a:gd name="connsiteX14" fmla="*/ 669867 w 1605897"/>
              <a:gd name="connsiteY14" fmla="*/ 647497 h 1622788"/>
              <a:gd name="connsiteX15" fmla="*/ 531420 w 1605897"/>
              <a:gd name="connsiteY15" fmla="*/ 735736 h 1622788"/>
              <a:gd name="connsiteX16" fmla="*/ 327165 w 1605897"/>
              <a:gd name="connsiteY16" fmla="*/ 416638 h 1622788"/>
              <a:gd name="connsiteX17" fmla="*/ 352048 w 1605897"/>
              <a:gd name="connsiteY17" fmla="*/ 303246 h 1622788"/>
              <a:gd name="connsiteX18" fmla="*/ 382436 w 1605897"/>
              <a:gd name="connsiteY18" fmla="*/ 291454 h 1622788"/>
              <a:gd name="connsiteX19" fmla="*/ 1143813 w 1605897"/>
              <a:gd name="connsiteY19" fmla="*/ 0 h 1622788"/>
              <a:gd name="connsiteX20" fmla="*/ 1253644 w 1605897"/>
              <a:gd name="connsiteY20" fmla="*/ 25823 h 1622788"/>
              <a:gd name="connsiteX21" fmla="*/ 1231644 w 1605897"/>
              <a:gd name="connsiteY21" fmla="*/ 423822 h 1622788"/>
              <a:gd name="connsiteX22" fmla="*/ 1444693 w 1605897"/>
              <a:gd name="connsiteY22" fmla="*/ 1543372 h 1622788"/>
              <a:gd name="connsiteX23" fmla="*/ 825940 w 1605897"/>
              <a:gd name="connsiteY23" fmla="*/ 1451538 h 1622788"/>
              <a:gd name="connsiteX24" fmla="*/ 760077 w 1605897"/>
              <a:gd name="connsiteY24" fmla="*/ 1371975 h 1622788"/>
              <a:gd name="connsiteX25" fmla="*/ 710838 w 1605897"/>
              <a:gd name="connsiteY25" fmla="*/ 1403493 h 1622788"/>
              <a:gd name="connsiteX26" fmla="*/ 666433 w 1605897"/>
              <a:gd name="connsiteY26" fmla="*/ 1334120 h 1622788"/>
              <a:gd name="connsiteX27" fmla="*/ 627005 w 1605897"/>
              <a:gd name="connsiteY27" fmla="*/ 1344137 h 1622788"/>
              <a:gd name="connsiteX28" fmla="*/ 242672 w 1605897"/>
              <a:gd name="connsiteY28" fmla="*/ 1160055 h 1622788"/>
              <a:gd name="connsiteX29" fmla="*/ 227449 w 1605897"/>
              <a:gd name="connsiteY29" fmla="*/ 1130486 h 1622788"/>
              <a:gd name="connsiteX30" fmla="*/ 841247 w 1605897"/>
              <a:gd name="connsiteY30" fmla="*/ 737593 h 1622788"/>
              <a:gd name="connsiteX31" fmla="*/ 861725 w 1605897"/>
              <a:gd name="connsiteY31" fmla="*/ 763799 h 1622788"/>
              <a:gd name="connsiteX32" fmla="*/ 867968 w 1605897"/>
              <a:gd name="connsiteY32" fmla="*/ 1189896 h 1622788"/>
              <a:gd name="connsiteX33" fmla="*/ 842363 w 1605897"/>
              <a:gd name="connsiteY33" fmla="*/ 1221507 h 1622788"/>
              <a:gd name="connsiteX34" fmla="*/ 886769 w 1605897"/>
              <a:gd name="connsiteY34" fmla="*/ 1290879 h 1622788"/>
              <a:gd name="connsiteX35" fmla="*/ 849265 w 1605897"/>
              <a:gd name="connsiteY35" fmla="*/ 1314885 h 1622788"/>
              <a:gd name="connsiteX36" fmla="*/ 890016 w 1605897"/>
              <a:gd name="connsiteY36" fmla="*/ 1366976 h 1622788"/>
              <a:gd name="connsiteX37" fmla="*/ 1394625 w 1605897"/>
              <a:gd name="connsiteY37" fmla="*/ 1465155 h 1622788"/>
              <a:gd name="connsiteX38" fmla="*/ 1116646 w 1605897"/>
              <a:gd name="connsiteY38" fmla="*/ 430175 h 1622788"/>
              <a:gd name="connsiteX39" fmla="*/ 1143813 w 1605897"/>
              <a:gd name="connsiteY39" fmla="*/ 0 h 1622788"/>
              <a:gd name="connsiteX0" fmla="*/ 773043 w 1605897"/>
              <a:gd name="connsiteY0" fmla="*/ 627341 h 1618086"/>
              <a:gd name="connsiteX1" fmla="*/ 823966 w 1605897"/>
              <a:gd name="connsiteY1" fmla="*/ 706895 h 1618086"/>
              <a:gd name="connsiteX2" fmla="*/ 204913 w 1605897"/>
              <a:gd name="connsiteY2" fmla="*/ 1103151 h 1618086"/>
              <a:gd name="connsiteX3" fmla="*/ 153990 w 1605897"/>
              <a:gd name="connsiteY3" fmla="*/ 1023597 h 1618086"/>
              <a:gd name="connsiteX4" fmla="*/ 773043 w 1605897"/>
              <a:gd name="connsiteY4" fmla="*/ 627341 h 1618086"/>
              <a:gd name="connsiteX5" fmla="*/ 68231 w 1605897"/>
              <a:gd name="connsiteY5" fmla="*/ 492577 h 1618086"/>
              <a:gd name="connsiteX6" fmla="*/ 151235 w 1605897"/>
              <a:gd name="connsiteY6" fmla="*/ 529252 h 1618086"/>
              <a:gd name="connsiteX7" fmla="*/ 355662 w 1605897"/>
              <a:gd name="connsiteY7" fmla="*/ 848620 h 1618086"/>
              <a:gd name="connsiteX8" fmla="*/ 217215 w 1605897"/>
              <a:gd name="connsiteY8" fmla="*/ 936859 h 1618086"/>
              <a:gd name="connsiteX9" fmla="*/ 12960 w 1605897"/>
              <a:gd name="connsiteY9" fmla="*/ 617761 h 1618086"/>
              <a:gd name="connsiteX10" fmla="*/ 37843 w 1605897"/>
              <a:gd name="connsiteY10" fmla="*/ 504369 h 1618086"/>
              <a:gd name="connsiteX11" fmla="*/ 68231 w 1605897"/>
              <a:gd name="connsiteY11" fmla="*/ 492577 h 1618086"/>
              <a:gd name="connsiteX12" fmla="*/ 382436 w 1605897"/>
              <a:gd name="connsiteY12" fmla="*/ 291454 h 1618086"/>
              <a:gd name="connsiteX13" fmla="*/ 465440 w 1605897"/>
              <a:gd name="connsiteY13" fmla="*/ 328129 h 1618086"/>
              <a:gd name="connsiteX14" fmla="*/ 669867 w 1605897"/>
              <a:gd name="connsiteY14" fmla="*/ 647497 h 1618086"/>
              <a:gd name="connsiteX15" fmla="*/ 531420 w 1605897"/>
              <a:gd name="connsiteY15" fmla="*/ 735736 h 1618086"/>
              <a:gd name="connsiteX16" fmla="*/ 327165 w 1605897"/>
              <a:gd name="connsiteY16" fmla="*/ 416638 h 1618086"/>
              <a:gd name="connsiteX17" fmla="*/ 352048 w 1605897"/>
              <a:gd name="connsiteY17" fmla="*/ 303246 h 1618086"/>
              <a:gd name="connsiteX18" fmla="*/ 382436 w 1605897"/>
              <a:gd name="connsiteY18" fmla="*/ 291454 h 1618086"/>
              <a:gd name="connsiteX19" fmla="*/ 1143813 w 1605897"/>
              <a:gd name="connsiteY19" fmla="*/ 0 h 1618086"/>
              <a:gd name="connsiteX20" fmla="*/ 1253644 w 1605897"/>
              <a:gd name="connsiteY20" fmla="*/ 25823 h 1618086"/>
              <a:gd name="connsiteX21" fmla="*/ 1231644 w 1605897"/>
              <a:gd name="connsiteY21" fmla="*/ 423822 h 1618086"/>
              <a:gd name="connsiteX22" fmla="*/ 1444693 w 1605897"/>
              <a:gd name="connsiteY22" fmla="*/ 1543372 h 1618086"/>
              <a:gd name="connsiteX23" fmla="*/ 825940 w 1605897"/>
              <a:gd name="connsiteY23" fmla="*/ 1451538 h 1618086"/>
              <a:gd name="connsiteX24" fmla="*/ 760077 w 1605897"/>
              <a:gd name="connsiteY24" fmla="*/ 1371975 h 1618086"/>
              <a:gd name="connsiteX25" fmla="*/ 710838 w 1605897"/>
              <a:gd name="connsiteY25" fmla="*/ 1403493 h 1618086"/>
              <a:gd name="connsiteX26" fmla="*/ 666433 w 1605897"/>
              <a:gd name="connsiteY26" fmla="*/ 1334120 h 1618086"/>
              <a:gd name="connsiteX27" fmla="*/ 627005 w 1605897"/>
              <a:gd name="connsiteY27" fmla="*/ 1344137 h 1618086"/>
              <a:gd name="connsiteX28" fmla="*/ 242672 w 1605897"/>
              <a:gd name="connsiteY28" fmla="*/ 1160055 h 1618086"/>
              <a:gd name="connsiteX29" fmla="*/ 227449 w 1605897"/>
              <a:gd name="connsiteY29" fmla="*/ 1130486 h 1618086"/>
              <a:gd name="connsiteX30" fmla="*/ 841247 w 1605897"/>
              <a:gd name="connsiteY30" fmla="*/ 737593 h 1618086"/>
              <a:gd name="connsiteX31" fmla="*/ 861725 w 1605897"/>
              <a:gd name="connsiteY31" fmla="*/ 763799 h 1618086"/>
              <a:gd name="connsiteX32" fmla="*/ 867968 w 1605897"/>
              <a:gd name="connsiteY32" fmla="*/ 1189896 h 1618086"/>
              <a:gd name="connsiteX33" fmla="*/ 842363 w 1605897"/>
              <a:gd name="connsiteY33" fmla="*/ 1221507 h 1618086"/>
              <a:gd name="connsiteX34" fmla="*/ 886769 w 1605897"/>
              <a:gd name="connsiteY34" fmla="*/ 1290879 h 1618086"/>
              <a:gd name="connsiteX35" fmla="*/ 849265 w 1605897"/>
              <a:gd name="connsiteY35" fmla="*/ 1314885 h 1618086"/>
              <a:gd name="connsiteX36" fmla="*/ 890016 w 1605897"/>
              <a:gd name="connsiteY36" fmla="*/ 1366976 h 1618086"/>
              <a:gd name="connsiteX37" fmla="*/ 1394625 w 1605897"/>
              <a:gd name="connsiteY37" fmla="*/ 1465155 h 1618086"/>
              <a:gd name="connsiteX38" fmla="*/ 1116646 w 1605897"/>
              <a:gd name="connsiteY38" fmla="*/ 430175 h 1618086"/>
              <a:gd name="connsiteX39" fmla="*/ 1143813 w 1605897"/>
              <a:gd name="connsiteY39" fmla="*/ 0 h 1618086"/>
              <a:gd name="connsiteX0" fmla="*/ 773043 w 1605897"/>
              <a:gd name="connsiteY0" fmla="*/ 627341 h 1620740"/>
              <a:gd name="connsiteX1" fmla="*/ 823966 w 1605897"/>
              <a:gd name="connsiteY1" fmla="*/ 706895 h 1620740"/>
              <a:gd name="connsiteX2" fmla="*/ 204913 w 1605897"/>
              <a:gd name="connsiteY2" fmla="*/ 1103151 h 1620740"/>
              <a:gd name="connsiteX3" fmla="*/ 153990 w 1605897"/>
              <a:gd name="connsiteY3" fmla="*/ 1023597 h 1620740"/>
              <a:gd name="connsiteX4" fmla="*/ 773043 w 1605897"/>
              <a:gd name="connsiteY4" fmla="*/ 627341 h 1620740"/>
              <a:gd name="connsiteX5" fmla="*/ 68231 w 1605897"/>
              <a:gd name="connsiteY5" fmla="*/ 492577 h 1620740"/>
              <a:gd name="connsiteX6" fmla="*/ 151235 w 1605897"/>
              <a:gd name="connsiteY6" fmla="*/ 529252 h 1620740"/>
              <a:gd name="connsiteX7" fmla="*/ 355662 w 1605897"/>
              <a:gd name="connsiteY7" fmla="*/ 848620 h 1620740"/>
              <a:gd name="connsiteX8" fmla="*/ 217215 w 1605897"/>
              <a:gd name="connsiteY8" fmla="*/ 936859 h 1620740"/>
              <a:gd name="connsiteX9" fmla="*/ 12960 w 1605897"/>
              <a:gd name="connsiteY9" fmla="*/ 617761 h 1620740"/>
              <a:gd name="connsiteX10" fmla="*/ 37843 w 1605897"/>
              <a:gd name="connsiteY10" fmla="*/ 504369 h 1620740"/>
              <a:gd name="connsiteX11" fmla="*/ 68231 w 1605897"/>
              <a:gd name="connsiteY11" fmla="*/ 492577 h 1620740"/>
              <a:gd name="connsiteX12" fmla="*/ 382436 w 1605897"/>
              <a:gd name="connsiteY12" fmla="*/ 291454 h 1620740"/>
              <a:gd name="connsiteX13" fmla="*/ 465440 w 1605897"/>
              <a:gd name="connsiteY13" fmla="*/ 328129 h 1620740"/>
              <a:gd name="connsiteX14" fmla="*/ 669867 w 1605897"/>
              <a:gd name="connsiteY14" fmla="*/ 647497 h 1620740"/>
              <a:gd name="connsiteX15" fmla="*/ 531420 w 1605897"/>
              <a:gd name="connsiteY15" fmla="*/ 735736 h 1620740"/>
              <a:gd name="connsiteX16" fmla="*/ 327165 w 1605897"/>
              <a:gd name="connsiteY16" fmla="*/ 416638 h 1620740"/>
              <a:gd name="connsiteX17" fmla="*/ 352048 w 1605897"/>
              <a:gd name="connsiteY17" fmla="*/ 303246 h 1620740"/>
              <a:gd name="connsiteX18" fmla="*/ 382436 w 1605897"/>
              <a:gd name="connsiteY18" fmla="*/ 291454 h 1620740"/>
              <a:gd name="connsiteX19" fmla="*/ 1143813 w 1605897"/>
              <a:gd name="connsiteY19" fmla="*/ 0 h 1620740"/>
              <a:gd name="connsiteX20" fmla="*/ 1253644 w 1605897"/>
              <a:gd name="connsiteY20" fmla="*/ 25823 h 1620740"/>
              <a:gd name="connsiteX21" fmla="*/ 1231644 w 1605897"/>
              <a:gd name="connsiteY21" fmla="*/ 423822 h 1620740"/>
              <a:gd name="connsiteX22" fmla="*/ 1444693 w 1605897"/>
              <a:gd name="connsiteY22" fmla="*/ 1543372 h 1620740"/>
              <a:gd name="connsiteX23" fmla="*/ 825940 w 1605897"/>
              <a:gd name="connsiteY23" fmla="*/ 1451538 h 1620740"/>
              <a:gd name="connsiteX24" fmla="*/ 760077 w 1605897"/>
              <a:gd name="connsiteY24" fmla="*/ 1371975 h 1620740"/>
              <a:gd name="connsiteX25" fmla="*/ 710838 w 1605897"/>
              <a:gd name="connsiteY25" fmla="*/ 1403493 h 1620740"/>
              <a:gd name="connsiteX26" fmla="*/ 666433 w 1605897"/>
              <a:gd name="connsiteY26" fmla="*/ 1334120 h 1620740"/>
              <a:gd name="connsiteX27" fmla="*/ 627005 w 1605897"/>
              <a:gd name="connsiteY27" fmla="*/ 1344137 h 1620740"/>
              <a:gd name="connsiteX28" fmla="*/ 242672 w 1605897"/>
              <a:gd name="connsiteY28" fmla="*/ 1160055 h 1620740"/>
              <a:gd name="connsiteX29" fmla="*/ 227449 w 1605897"/>
              <a:gd name="connsiteY29" fmla="*/ 1130486 h 1620740"/>
              <a:gd name="connsiteX30" fmla="*/ 841247 w 1605897"/>
              <a:gd name="connsiteY30" fmla="*/ 737593 h 1620740"/>
              <a:gd name="connsiteX31" fmla="*/ 861725 w 1605897"/>
              <a:gd name="connsiteY31" fmla="*/ 763799 h 1620740"/>
              <a:gd name="connsiteX32" fmla="*/ 867968 w 1605897"/>
              <a:gd name="connsiteY32" fmla="*/ 1189896 h 1620740"/>
              <a:gd name="connsiteX33" fmla="*/ 842363 w 1605897"/>
              <a:gd name="connsiteY33" fmla="*/ 1221507 h 1620740"/>
              <a:gd name="connsiteX34" fmla="*/ 886769 w 1605897"/>
              <a:gd name="connsiteY34" fmla="*/ 1290879 h 1620740"/>
              <a:gd name="connsiteX35" fmla="*/ 849265 w 1605897"/>
              <a:gd name="connsiteY35" fmla="*/ 1314885 h 1620740"/>
              <a:gd name="connsiteX36" fmla="*/ 890016 w 1605897"/>
              <a:gd name="connsiteY36" fmla="*/ 1366976 h 1620740"/>
              <a:gd name="connsiteX37" fmla="*/ 1394625 w 1605897"/>
              <a:gd name="connsiteY37" fmla="*/ 1465155 h 1620740"/>
              <a:gd name="connsiteX38" fmla="*/ 1116646 w 1605897"/>
              <a:gd name="connsiteY38" fmla="*/ 430175 h 1620740"/>
              <a:gd name="connsiteX39" fmla="*/ 1143813 w 1605897"/>
              <a:gd name="connsiteY39" fmla="*/ 0 h 1620740"/>
              <a:gd name="connsiteX0" fmla="*/ 773043 w 1605897"/>
              <a:gd name="connsiteY0" fmla="*/ 627341 h 1620740"/>
              <a:gd name="connsiteX1" fmla="*/ 823966 w 1605897"/>
              <a:gd name="connsiteY1" fmla="*/ 706895 h 1620740"/>
              <a:gd name="connsiteX2" fmla="*/ 204913 w 1605897"/>
              <a:gd name="connsiteY2" fmla="*/ 1103151 h 1620740"/>
              <a:gd name="connsiteX3" fmla="*/ 153990 w 1605897"/>
              <a:gd name="connsiteY3" fmla="*/ 1023597 h 1620740"/>
              <a:gd name="connsiteX4" fmla="*/ 773043 w 1605897"/>
              <a:gd name="connsiteY4" fmla="*/ 627341 h 1620740"/>
              <a:gd name="connsiteX5" fmla="*/ 68231 w 1605897"/>
              <a:gd name="connsiteY5" fmla="*/ 492577 h 1620740"/>
              <a:gd name="connsiteX6" fmla="*/ 151235 w 1605897"/>
              <a:gd name="connsiteY6" fmla="*/ 529252 h 1620740"/>
              <a:gd name="connsiteX7" fmla="*/ 355662 w 1605897"/>
              <a:gd name="connsiteY7" fmla="*/ 848620 h 1620740"/>
              <a:gd name="connsiteX8" fmla="*/ 217215 w 1605897"/>
              <a:gd name="connsiteY8" fmla="*/ 936859 h 1620740"/>
              <a:gd name="connsiteX9" fmla="*/ 12960 w 1605897"/>
              <a:gd name="connsiteY9" fmla="*/ 617761 h 1620740"/>
              <a:gd name="connsiteX10" fmla="*/ 37843 w 1605897"/>
              <a:gd name="connsiteY10" fmla="*/ 504369 h 1620740"/>
              <a:gd name="connsiteX11" fmla="*/ 68231 w 1605897"/>
              <a:gd name="connsiteY11" fmla="*/ 492577 h 1620740"/>
              <a:gd name="connsiteX12" fmla="*/ 382436 w 1605897"/>
              <a:gd name="connsiteY12" fmla="*/ 291454 h 1620740"/>
              <a:gd name="connsiteX13" fmla="*/ 465440 w 1605897"/>
              <a:gd name="connsiteY13" fmla="*/ 328129 h 1620740"/>
              <a:gd name="connsiteX14" fmla="*/ 669867 w 1605897"/>
              <a:gd name="connsiteY14" fmla="*/ 647497 h 1620740"/>
              <a:gd name="connsiteX15" fmla="*/ 531420 w 1605897"/>
              <a:gd name="connsiteY15" fmla="*/ 735736 h 1620740"/>
              <a:gd name="connsiteX16" fmla="*/ 327165 w 1605897"/>
              <a:gd name="connsiteY16" fmla="*/ 416638 h 1620740"/>
              <a:gd name="connsiteX17" fmla="*/ 352048 w 1605897"/>
              <a:gd name="connsiteY17" fmla="*/ 303246 h 1620740"/>
              <a:gd name="connsiteX18" fmla="*/ 382436 w 1605897"/>
              <a:gd name="connsiteY18" fmla="*/ 291454 h 1620740"/>
              <a:gd name="connsiteX19" fmla="*/ 1143813 w 1605897"/>
              <a:gd name="connsiteY19" fmla="*/ 0 h 1620740"/>
              <a:gd name="connsiteX20" fmla="*/ 1253644 w 1605897"/>
              <a:gd name="connsiteY20" fmla="*/ 25823 h 1620740"/>
              <a:gd name="connsiteX21" fmla="*/ 1231644 w 1605897"/>
              <a:gd name="connsiteY21" fmla="*/ 423822 h 1620740"/>
              <a:gd name="connsiteX22" fmla="*/ 1444693 w 1605897"/>
              <a:gd name="connsiteY22" fmla="*/ 1543372 h 1620740"/>
              <a:gd name="connsiteX23" fmla="*/ 825940 w 1605897"/>
              <a:gd name="connsiteY23" fmla="*/ 1451538 h 1620740"/>
              <a:gd name="connsiteX24" fmla="*/ 760077 w 1605897"/>
              <a:gd name="connsiteY24" fmla="*/ 1371975 h 1620740"/>
              <a:gd name="connsiteX25" fmla="*/ 710838 w 1605897"/>
              <a:gd name="connsiteY25" fmla="*/ 1403493 h 1620740"/>
              <a:gd name="connsiteX26" fmla="*/ 666433 w 1605897"/>
              <a:gd name="connsiteY26" fmla="*/ 1334120 h 1620740"/>
              <a:gd name="connsiteX27" fmla="*/ 627005 w 1605897"/>
              <a:gd name="connsiteY27" fmla="*/ 1344137 h 1620740"/>
              <a:gd name="connsiteX28" fmla="*/ 242672 w 1605897"/>
              <a:gd name="connsiteY28" fmla="*/ 1160055 h 1620740"/>
              <a:gd name="connsiteX29" fmla="*/ 227449 w 1605897"/>
              <a:gd name="connsiteY29" fmla="*/ 1130486 h 1620740"/>
              <a:gd name="connsiteX30" fmla="*/ 841247 w 1605897"/>
              <a:gd name="connsiteY30" fmla="*/ 737593 h 1620740"/>
              <a:gd name="connsiteX31" fmla="*/ 861725 w 1605897"/>
              <a:gd name="connsiteY31" fmla="*/ 763799 h 1620740"/>
              <a:gd name="connsiteX32" fmla="*/ 867968 w 1605897"/>
              <a:gd name="connsiteY32" fmla="*/ 1189896 h 1620740"/>
              <a:gd name="connsiteX33" fmla="*/ 842363 w 1605897"/>
              <a:gd name="connsiteY33" fmla="*/ 1221507 h 1620740"/>
              <a:gd name="connsiteX34" fmla="*/ 886769 w 1605897"/>
              <a:gd name="connsiteY34" fmla="*/ 1290879 h 1620740"/>
              <a:gd name="connsiteX35" fmla="*/ 849265 w 1605897"/>
              <a:gd name="connsiteY35" fmla="*/ 1314885 h 1620740"/>
              <a:gd name="connsiteX36" fmla="*/ 890016 w 1605897"/>
              <a:gd name="connsiteY36" fmla="*/ 1374120 h 1620740"/>
              <a:gd name="connsiteX37" fmla="*/ 1394625 w 1605897"/>
              <a:gd name="connsiteY37" fmla="*/ 1465155 h 1620740"/>
              <a:gd name="connsiteX38" fmla="*/ 1116646 w 1605897"/>
              <a:gd name="connsiteY38" fmla="*/ 430175 h 1620740"/>
              <a:gd name="connsiteX39" fmla="*/ 1143813 w 1605897"/>
              <a:gd name="connsiteY39" fmla="*/ 0 h 1620740"/>
              <a:gd name="connsiteX0" fmla="*/ 773043 w 1605897"/>
              <a:gd name="connsiteY0" fmla="*/ 627341 h 1620740"/>
              <a:gd name="connsiteX1" fmla="*/ 823966 w 1605897"/>
              <a:gd name="connsiteY1" fmla="*/ 706895 h 1620740"/>
              <a:gd name="connsiteX2" fmla="*/ 204913 w 1605897"/>
              <a:gd name="connsiteY2" fmla="*/ 1103151 h 1620740"/>
              <a:gd name="connsiteX3" fmla="*/ 153990 w 1605897"/>
              <a:gd name="connsiteY3" fmla="*/ 1023597 h 1620740"/>
              <a:gd name="connsiteX4" fmla="*/ 773043 w 1605897"/>
              <a:gd name="connsiteY4" fmla="*/ 627341 h 1620740"/>
              <a:gd name="connsiteX5" fmla="*/ 68231 w 1605897"/>
              <a:gd name="connsiteY5" fmla="*/ 492577 h 1620740"/>
              <a:gd name="connsiteX6" fmla="*/ 151235 w 1605897"/>
              <a:gd name="connsiteY6" fmla="*/ 529252 h 1620740"/>
              <a:gd name="connsiteX7" fmla="*/ 355662 w 1605897"/>
              <a:gd name="connsiteY7" fmla="*/ 848620 h 1620740"/>
              <a:gd name="connsiteX8" fmla="*/ 217215 w 1605897"/>
              <a:gd name="connsiteY8" fmla="*/ 936859 h 1620740"/>
              <a:gd name="connsiteX9" fmla="*/ 12960 w 1605897"/>
              <a:gd name="connsiteY9" fmla="*/ 617761 h 1620740"/>
              <a:gd name="connsiteX10" fmla="*/ 37843 w 1605897"/>
              <a:gd name="connsiteY10" fmla="*/ 504369 h 1620740"/>
              <a:gd name="connsiteX11" fmla="*/ 68231 w 1605897"/>
              <a:gd name="connsiteY11" fmla="*/ 492577 h 1620740"/>
              <a:gd name="connsiteX12" fmla="*/ 382436 w 1605897"/>
              <a:gd name="connsiteY12" fmla="*/ 291454 h 1620740"/>
              <a:gd name="connsiteX13" fmla="*/ 465440 w 1605897"/>
              <a:gd name="connsiteY13" fmla="*/ 328129 h 1620740"/>
              <a:gd name="connsiteX14" fmla="*/ 669867 w 1605897"/>
              <a:gd name="connsiteY14" fmla="*/ 647497 h 1620740"/>
              <a:gd name="connsiteX15" fmla="*/ 531420 w 1605897"/>
              <a:gd name="connsiteY15" fmla="*/ 735736 h 1620740"/>
              <a:gd name="connsiteX16" fmla="*/ 327165 w 1605897"/>
              <a:gd name="connsiteY16" fmla="*/ 416638 h 1620740"/>
              <a:gd name="connsiteX17" fmla="*/ 352048 w 1605897"/>
              <a:gd name="connsiteY17" fmla="*/ 303246 h 1620740"/>
              <a:gd name="connsiteX18" fmla="*/ 382436 w 1605897"/>
              <a:gd name="connsiteY18" fmla="*/ 291454 h 1620740"/>
              <a:gd name="connsiteX19" fmla="*/ 1143813 w 1605897"/>
              <a:gd name="connsiteY19" fmla="*/ 0 h 1620740"/>
              <a:gd name="connsiteX20" fmla="*/ 1253644 w 1605897"/>
              <a:gd name="connsiteY20" fmla="*/ 25823 h 1620740"/>
              <a:gd name="connsiteX21" fmla="*/ 1231644 w 1605897"/>
              <a:gd name="connsiteY21" fmla="*/ 423822 h 1620740"/>
              <a:gd name="connsiteX22" fmla="*/ 1444693 w 1605897"/>
              <a:gd name="connsiteY22" fmla="*/ 1543372 h 1620740"/>
              <a:gd name="connsiteX23" fmla="*/ 825940 w 1605897"/>
              <a:gd name="connsiteY23" fmla="*/ 1451538 h 1620740"/>
              <a:gd name="connsiteX24" fmla="*/ 760077 w 1605897"/>
              <a:gd name="connsiteY24" fmla="*/ 1371975 h 1620740"/>
              <a:gd name="connsiteX25" fmla="*/ 710838 w 1605897"/>
              <a:gd name="connsiteY25" fmla="*/ 1403493 h 1620740"/>
              <a:gd name="connsiteX26" fmla="*/ 666433 w 1605897"/>
              <a:gd name="connsiteY26" fmla="*/ 1334120 h 1620740"/>
              <a:gd name="connsiteX27" fmla="*/ 627005 w 1605897"/>
              <a:gd name="connsiteY27" fmla="*/ 1344137 h 1620740"/>
              <a:gd name="connsiteX28" fmla="*/ 242672 w 1605897"/>
              <a:gd name="connsiteY28" fmla="*/ 1160055 h 1620740"/>
              <a:gd name="connsiteX29" fmla="*/ 227449 w 1605897"/>
              <a:gd name="connsiteY29" fmla="*/ 1130486 h 1620740"/>
              <a:gd name="connsiteX30" fmla="*/ 841247 w 1605897"/>
              <a:gd name="connsiteY30" fmla="*/ 737593 h 1620740"/>
              <a:gd name="connsiteX31" fmla="*/ 861725 w 1605897"/>
              <a:gd name="connsiteY31" fmla="*/ 763799 h 1620740"/>
              <a:gd name="connsiteX32" fmla="*/ 867968 w 1605897"/>
              <a:gd name="connsiteY32" fmla="*/ 1189896 h 1620740"/>
              <a:gd name="connsiteX33" fmla="*/ 842363 w 1605897"/>
              <a:gd name="connsiteY33" fmla="*/ 1221507 h 1620740"/>
              <a:gd name="connsiteX34" fmla="*/ 886769 w 1605897"/>
              <a:gd name="connsiteY34" fmla="*/ 1290879 h 1620740"/>
              <a:gd name="connsiteX35" fmla="*/ 849265 w 1605897"/>
              <a:gd name="connsiteY35" fmla="*/ 1314885 h 1620740"/>
              <a:gd name="connsiteX36" fmla="*/ 890016 w 1605897"/>
              <a:gd name="connsiteY36" fmla="*/ 1374120 h 1620740"/>
              <a:gd name="connsiteX37" fmla="*/ 1394625 w 1605897"/>
              <a:gd name="connsiteY37" fmla="*/ 1465155 h 1620740"/>
              <a:gd name="connsiteX38" fmla="*/ 1116646 w 1605897"/>
              <a:gd name="connsiteY38" fmla="*/ 430175 h 1620740"/>
              <a:gd name="connsiteX39" fmla="*/ 1143813 w 1605897"/>
              <a:gd name="connsiteY39" fmla="*/ 0 h 1620740"/>
              <a:gd name="connsiteX0" fmla="*/ 773043 w 1605897"/>
              <a:gd name="connsiteY0" fmla="*/ 627341 h 1620740"/>
              <a:gd name="connsiteX1" fmla="*/ 823966 w 1605897"/>
              <a:gd name="connsiteY1" fmla="*/ 706895 h 1620740"/>
              <a:gd name="connsiteX2" fmla="*/ 204913 w 1605897"/>
              <a:gd name="connsiteY2" fmla="*/ 1103151 h 1620740"/>
              <a:gd name="connsiteX3" fmla="*/ 153990 w 1605897"/>
              <a:gd name="connsiteY3" fmla="*/ 1023597 h 1620740"/>
              <a:gd name="connsiteX4" fmla="*/ 773043 w 1605897"/>
              <a:gd name="connsiteY4" fmla="*/ 627341 h 1620740"/>
              <a:gd name="connsiteX5" fmla="*/ 68231 w 1605897"/>
              <a:gd name="connsiteY5" fmla="*/ 492577 h 1620740"/>
              <a:gd name="connsiteX6" fmla="*/ 151235 w 1605897"/>
              <a:gd name="connsiteY6" fmla="*/ 529252 h 1620740"/>
              <a:gd name="connsiteX7" fmla="*/ 355662 w 1605897"/>
              <a:gd name="connsiteY7" fmla="*/ 848620 h 1620740"/>
              <a:gd name="connsiteX8" fmla="*/ 217215 w 1605897"/>
              <a:gd name="connsiteY8" fmla="*/ 936859 h 1620740"/>
              <a:gd name="connsiteX9" fmla="*/ 12960 w 1605897"/>
              <a:gd name="connsiteY9" fmla="*/ 617761 h 1620740"/>
              <a:gd name="connsiteX10" fmla="*/ 37843 w 1605897"/>
              <a:gd name="connsiteY10" fmla="*/ 504369 h 1620740"/>
              <a:gd name="connsiteX11" fmla="*/ 68231 w 1605897"/>
              <a:gd name="connsiteY11" fmla="*/ 492577 h 1620740"/>
              <a:gd name="connsiteX12" fmla="*/ 382436 w 1605897"/>
              <a:gd name="connsiteY12" fmla="*/ 291454 h 1620740"/>
              <a:gd name="connsiteX13" fmla="*/ 465440 w 1605897"/>
              <a:gd name="connsiteY13" fmla="*/ 328129 h 1620740"/>
              <a:gd name="connsiteX14" fmla="*/ 669867 w 1605897"/>
              <a:gd name="connsiteY14" fmla="*/ 647497 h 1620740"/>
              <a:gd name="connsiteX15" fmla="*/ 531420 w 1605897"/>
              <a:gd name="connsiteY15" fmla="*/ 735736 h 1620740"/>
              <a:gd name="connsiteX16" fmla="*/ 327165 w 1605897"/>
              <a:gd name="connsiteY16" fmla="*/ 416638 h 1620740"/>
              <a:gd name="connsiteX17" fmla="*/ 352048 w 1605897"/>
              <a:gd name="connsiteY17" fmla="*/ 303246 h 1620740"/>
              <a:gd name="connsiteX18" fmla="*/ 382436 w 1605897"/>
              <a:gd name="connsiteY18" fmla="*/ 291454 h 1620740"/>
              <a:gd name="connsiteX19" fmla="*/ 1143813 w 1605897"/>
              <a:gd name="connsiteY19" fmla="*/ 0 h 1620740"/>
              <a:gd name="connsiteX20" fmla="*/ 1253644 w 1605897"/>
              <a:gd name="connsiteY20" fmla="*/ 25823 h 1620740"/>
              <a:gd name="connsiteX21" fmla="*/ 1231644 w 1605897"/>
              <a:gd name="connsiteY21" fmla="*/ 423822 h 1620740"/>
              <a:gd name="connsiteX22" fmla="*/ 1444693 w 1605897"/>
              <a:gd name="connsiteY22" fmla="*/ 1543372 h 1620740"/>
              <a:gd name="connsiteX23" fmla="*/ 825940 w 1605897"/>
              <a:gd name="connsiteY23" fmla="*/ 1451538 h 1620740"/>
              <a:gd name="connsiteX24" fmla="*/ 760077 w 1605897"/>
              <a:gd name="connsiteY24" fmla="*/ 1371975 h 1620740"/>
              <a:gd name="connsiteX25" fmla="*/ 710838 w 1605897"/>
              <a:gd name="connsiteY25" fmla="*/ 1403493 h 1620740"/>
              <a:gd name="connsiteX26" fmla="*/ 666433 w 1605897"/>
              <a:gd name="connsiteY26" fmla="*/ 1334120 h 1620740"/>
              <a:gd name="connsiteX27" fmla="*/ 627005 w 1605897"/>
              <a:gd name="connsiteY27" fmla="*/ 1344137 h 1620740"/>
              <a:gd name="connsiteX28" fmla="*/ 242672 w 1605897"/>
              <a:gd name="connsiteY28" fmla="*/ 1160055 h 1620740"/>
              <a:gd name="connsiteX29" fmla="*/ 227449 w 1605897"/>
              <a:gd name="connsiteY29" fmla="*/ 1130486 h 1620740"/>
              <a:gd name="connsiteX30" fmla="*/ 841247 w 1605897"/>
              <a:gd name="connsiteY30" fmla="*/ 737593 h 1620740"/>
              <a:gd name="connsiteX31" fmla="*/ 861725 w 1605897"/>
              <a:gd name="connsiteY31" fmla="*/ 763799 h 1620740"/>
              <a:gd name="connsiteX32" fmla="*/ 867968 w 1605897"/>
              <a:gd name="connsiteY32" fmla="*/ 1189896 h 1620740"/>
              <a:gd name="connsiteX33" fmla="*/ 842363 w 1605897"/>
              <a:gd name="connsiteY33" fmla="*/ 1221507 h 1620740"/>
              <a:gd name="connsiteX34" fmla="*/ 886769 w 1605897"/>
              <a:gd name="connsiteY34" fmla="*/ 1290879 h 1620740"/>
              <a:gd name="connsiteX35" fmla="*/ 849265 w 1605897"/>
              <a:gd name="connsiteY35" fmla="*/ 1314885 h 1620740"/>
              <a:gd name="connsiteX36" fmla="*/ 890016 w 1605897"/>
              <a:gd name="connsiteY36" fmla="*/ 1374120 h 1620740"/>
              <a:gd name="connsiteX37" fmla="*/ 1394625 w 1605897"/>
              <a:gd name="connsiteY37" fmla="*/ 1465155 h 1620740"/>
              <a:gd name="connsiteX38" fmla="*/ 1116646 w 1605897"/>
              <a:gd name="connsiteY38" fmla="*/ 430175 h 1620740"/>
              <a:gd name="connsiteX39" fmla="*/ 1143813 w 1605897"/>
              <a:gd name="connsiteY39" fmla="*/ 0 h 1620740"/>
              <a:gd name="connsiteX0" fmla="*/ 773043 w 1605897"/>
              <a:gd name="connsiteY0" fmla="*/ 627341 h 1628480"/>
              <a:gd name="connsiteX1" fmla="*/ 823966 w 1605897"/>
              <a:gd name="connsiteY1" fmla="*/ 706895 h 1628480"/>
              <a:gd name="connsiteX2" fmla="*/ 204913 w 1605897"/>
              <a:gd name="connsiteY2" fmla="*/ 1103151 h 1628480"/>
              <a:gd name="connsiteX3" fmla="*/ 153990 w 1605897"/>
              <a:gd name="connsiteY3" fmla="*/ 1023597 h 1628480"/>
              <a:gd name="connsiteX4" fmla="*/ 773043 w 1605897"/>
              <a:gd name="connsiteY4" fmla="*/ 627341 h 1628480"/>
              <a:gd name="connsiteX5" fmla="*/ 68231 w 1605897"/>
              <a:gd name="connsiteY5" fmla="*/ 492577 h 1628480"/>
              <a:gd name="connsiteX6" fmla="*/ 151235 w 1605897"/>
              <a:gd name="connsiteY6" fmla="*/ 529252 h 1628480"/>
              <a:gd name="connsiteX7" fmla="*/ 355662 w 1605897"/>
              <a:gd name="connsiteY7" fmla="*/ 848620 h 1628480"/>
              <a:gd name="connsiteX8" fmla="*/ 217215 w 1605897"/>
              <a:gd name="connsiteY8" fmla="*/ 936859 h 1628480"/>
              <a:gd name="connsiteX9" fmla="*/ 12960 w 1605897"/>
              <a:gd name="connsiteY9" fmla="*/ 617761 h 1628480"/>
              <a:gd name="connsiteX10" fmla="*/ 37843 w 1605897"/>
              <a:gd name="connsiteY10" fmla="*/ 504369 h 1628480"/>
              <a:gd name="connsiteX11" fmla="*/ 68231 w 1605897"/>
              <a:gd name="connsiteY11" fmla="*/ 492577 h 1628480"/>
              <a:gd name="connsiteX12" fmla="*/ 382436 w 1605897"/>
              <a:gd name="connsiteY12" fmla="*/ 291454 h 1628480"/>
              <a:gd name="connsiteX13" fmla="*/ 465440 w 1605897"/>
              <a:gd name="connsiteY13" fmla="*/ 328129 h 1628480"/>
              <a:gd name="connsiteX14" fmla="*/ 669867 w 1605897"/>
              <a:gd name="connsiteY14" fmla="*/ 647497 h 1628480"/>
              <a:gd name="connsiteX15" fmla="*/ 531420 w 1605897"/>
              <a:gd name="connsiteY15" fmla="*/ 735736 h 1628480"/>
              <a:gd name="connsiteX16" fmla="*/ 327165 w 1605897"/>
              <a:gd name="connsiteY16" fmla="*/ 416638 h 1628480"/>
              <a:gd name="connsiteX17" fmla="*/ 352048 w 1605897"/>
              <a:gd name="connsiteY17" fmla="*/ 303246 h 1628480"/>
              <a:gd name="connsiteX18" fmla="*/ 382436 w 1605897"/>
              <a:gd name="connsiteY18" fmla="*/ 291454 h 1628480"/>
              <a:gd name="connsiteX19" fmla="*/ 1143813 w 1605897"/>
              <a:gd name="connsiteY19" fmla="*/ 0 h 1628480"/>
              <a:gd name="connsiteX20" fmla="*/ 1253644 w 1605897"/>
              <a:gd name="connsiteY20" fmla="*/ 25823 h 1628480"/>
              <a:gd name="connsiteX21" fmla="*/ 1231644 w 1605897"/>
              <a:gd name="connsiteY21" fmla="*/ 423822 h 1628480"/>
              <a:gd name="connsiteX22" fmla="*/ 1444693 w 1605897"/>
              <a:gd name="connsiteY22" fmla="*/ 1543372 h 1628480"/>
              <a:gd name="connsiteX23" fmla="*/ 825940 w 1605897"/>
              <a:gd name="connsiteY23" fmla="*/ 1451538 h 1628480"/>
              <a:gd name="connsiteX24" fmla="*/ 760077 w 1605897"/>
              <a:gd name="connsiteY24" fmla="*/ 1371975 h 1628480"/>
              <a:gd name="connsiteX25" fmla="*/ 710838 w 1605897"/>
              <a:gd name="connsiteY25" fmla="*/ 1403493 h 1628480"/>
              <a:gd name="connsiteX26" fmla="*/ 666433 w 1605897"/>
              <a:gd name="connsiteY26" fmla="*/ 1334120 h 1628480"/>
              <a:gd name="connsiteX27" fmla="*/ 627005 w 1605897"/>
              <a:gd name="connsiteY27" fmla="*/ 1344137 h 1628480"/>
              <a:gd name="connsiteX28" fmla="*/ 242672 w 1605897"/>
              <a:gd name="connsiteY28" fmla="*/ 1160055 h 1628480"/>
              <a:gd name="connsiteX29" fmla="*/ 227449 w 1605897"/>
              <a:gd name="connsiteY29" fmla="*/ 1130486 h 1628480"/>
              <a:gd name="connsiteX30" fmla="*/ 841247 w 1605897"/>
              <a:gd name="connsiteY30" fmla="*/ 737593 h 1628480"/>
              <a:gd name="connsiteX31" fmla="*/ 861725 w 1605897"/>
              <a:gd name="connsiteY31" fmla="*/ 763799 h 1628480"/>
              <a:gd name="connsiteX32" fmla="*/ 867968 w 1605897"/>
              <a:gd name="connsiteY32" fmla="*/ 1189896 h 1628480"/>
              <a:gd name="connsiteX33" fmla="*/ 842363 w 1605897"/>
              <a:gd name="connsiteY33" fmla="*/ 1221507 h 1628480"/>
              <a:gd name="connsiteX34" fmla="*/ 886769 w 1605897"/>
              <a:gd name="connsiteY34" fmla="*/ 1290879 h 1628480"/>
              <a:gd name="connsiteX35" fmla="*/ 849265 w 1605897"/>
              <a:gd name="connsiteY35" fmla="*/ 1314885 h 1628480"/>
              <a:gd name="connsiteX36" fmla="*/ 890016 w 1605897"/>
              <a:gd name="connsiteY36" fmla="*/ 1374120 h 1628480"/>
              <a:gd name="connsiteX37" fmla="*/ 1394625 w 1605897"/>
              <a:gd name="connsiteY37" fmla="*/ 1465155 h 1628480"/>
              <a:gd name="connsiteX38" fmla="*/ 1116646 w 1605897"/>
              <a:gd name="connsiteY38" fmla="*/ 430175 h 1628480"/>
              <a:gd name="connsiteX39" fmla="*/ 1143813 w 1605897"/>
              <a:gd name="connsiteY39" fmla="*/ 0 h 16284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</a:cxnLst>
            <a:rect l="l" t="t" r="r" b="b"/>
            <a:pathLst>
              <a:path w="1605897" h="1628480">
                <a:moveTo>
                  <a:pt x="773043" y="627341"/>
                </a:moveTo>
                <a:lnTo>
                  <a:pt x="823966" y="706895"/>
                </a:lnTo>
                <a:lnTo>
                  <a:pt x="204913" y="1103151"/>
                </a:lnTo>
                <a:lnTo>
                  <a:pt x="153990" y="1023597"/>
                </a:lnTo>
                <a:lnTo>
                  <a:pt x="773043" y="627341"/>
                </a:lnTo>
                <a:close/>
                <a:moveTo>
                  <a:pt x="68231" y="492577"/>
                </a:moveTo>
                <a:cubicBezTo>
                  <a:pt x="99765" y="487189"/>
                  <a:pt x="132904" y="500614"/>
                  <a:pt x="151235" y="529252"/>
                </a:cubicBezTo>
                <a:lnTo>
                  <a:pt x="355662" y="848620"/>
                </a:lnTo>
                <a:lnTo>
                  <a:pt x="217215" y="936859"/>
                </a:lnTo>
                <a:lnTo>
                  <a:pt x="12960" y="617761"/>
                </a:lnTo>
                <a:cubicBezTo>
                  <a:pt x="-11481" y="579578"/>
                  <a:pt x="-341" y="528811"/>
                  <a:pt x="37843" y="504369"/>
                </a:cubicBezTo>
                <a:cubicBezTo>
                  <a:pt x="47388" y="498259"/>
                  <a:pt x="57721" y="494372"/>
                  <a:pt x="68231" y="492577"/>
                </a:cubicBezTo>
                <a:close/>
                <a:moveTo>
                  <a:pt x="382436" y="291454"/>
                </a:moveTo>
                <a:cubicBezTo>
                  <a:pt x="413970" y="286066"/>
                  <a:pt x="447109" y="299491"/>
                  <a:pt x="465440" y="328129"/>
                </a:cubicBezTo>
                <a:lnTo>
                  <a:pt x="669867" y="647497"/>
                </a:lnTo>
                <a:lnTo>
                  <a:pt x="531420" y="735736"/>
                </a:lnTo>
                <a:lnTo>
                  <a:pt x="327165" y="416638"/>
                </a:lnTo>
                <a:cubicBezTo>
                  <a:pt x="302724" y="378455"/>
                  <a:pt x="313864" y="327688"/>
                  <a:pt x="352048" y="303246"/>
                </a:cubicBezTo>
                <a:cubicBezTo>
                  <a:pt x="361593" y="297136"/>
                  <a:pt x="371926" y="293249"/>
                  <a:pt x="382436" y="291454"/>
                </a:cubicBezTo>
                <a:close/>
                <a:moveTo>
                  <a:pt x="1143813" y="0"/>
                </a:moveTo>
                <a:lnTo>
                  <a:pt x="1253644" y="25823"/>
                </a:lnTo>
                <a:cubicBezTo>
                  <a:pt x="1218267" y="69201"/>
                  <a:pt x="1076199" y="169760"/>
                  <a:pt x="1231644" y="423822"/>
                </a:cubicBezTo>
                <a:cubicBezTo>
                  <a:pt x="1656686" y="1014433"/>
                  <a:pt x="1708063" y="1376201"/>
                  <a:pt x="1444693" y="1543372"/>
                </a:cubicBezTo>
                <a:cubicBezTo>
                  <a:pt x="1241114" y="1675678"/>
                  <a:pt x="980490" y="1660113"/>
                  <a:pt x="825940" y="1451538"/>
                </a:cubicBezTo>
                <a:lnTo>
                  <a:pt x="760077" y="1371975"/>
                </a:lnTo>
                <a:lnTo>
                  <a:pt x="710838" y="1403493"/>
                </a:lnTo>
                <a:lnTo>
                  <a:pt x="666433" y="1334120"/>
                </a:lnTo>
                <a:lnTo>
                  <a:pt x="627005" y="1344137"/>
                </a:lnTo>
                <a:cubicBezTo>
                  <a:pt x="483736" y="1364983"/>
                  <a:pt x="330462" y="1297205"/>
                  <a:pt x="242672" y="1160055"/>
                </a:cubicBezTo>
                <a:lnTo>
                  <a:pt x="227449" y="1130486"/>
                </a:lnTo>
                <a:lnTo>
                  <a:pt x="841247" y="737593"/>
                </a:lnTo>
                <a:lnTo>
                  <a:pt x="861725" y="763799"/>
                </a:lnTo>
                <a:cubicBezTo>
                  <a:pt x="949515" y="900948"/>
                  <a:pt x="946887" y="1068519"/>
                  <a:pt x="867968" y="1189896"/>
                </a:cubicBezTo>
                <a:lnTo>
                  <a:pt x="842363" y="1221507"/>
                </a:lnTo>
                <a:lnTo>
                  <a:pt x="886769" y="1290879"/>
                </a:lnTo>
                <a:lnTo>
                  <a:pt x="849265" y="1314885"/>
                </a:lnTo>
                <a:lnTo>
                  <a:pt x="890016" y="1374120"/>
                </a:lnTo>
                <a:cubicBezTo>
                  <a:pt x="1017276" y="1536444"/>
                  <a:pt x="1184285" y="1602267"/>
                  <a:pt x="1394625" y="1465155"/>
                </a:cubicBezTo>
                <a:cubicBezTo>
                  <a:pt x="1632645" y="1299604"/>
                  <a:pt x="1458312" y="912626"/>
                  <a:pt x="1116646" y="430175"/>
                </a:cubicBezTo>
                <a:cubicBezTo>
                  <a:pt x="981474" y="218309"/>
                  <a:pt x="1121272" y="39874"/>
                  <a:pt x="1143813" y="0"/>
                </a:cubicBezTo>
                <a:close/>
              </a:path>
            </a:pathLst>
          </a:custGeom>
          <a:solidFill>
            <a:srgbClr val="FAC85F"/>
          </a:solidFill>
          <a:ln w="190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lIns="36000" tIns="36000" rIns="36000" bIns="36000" rtlCol="0" anchor="ctr"/>
          <a:lstStyle>
            <a:defPPr>
              <a:defRPr lang="en-US"/>
            </a:defPPr>
            <a:lvl1pPr marL="0" algn="l" defTabSz="914309" rtl="0" eaLnBrk="1" latinLnBrk="0" hangingPunct="1">
              <a:defRPr lang="en-CA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154" algn="l" defTabSz="914309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309" algn="l" defTabSz="914309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463" algn="l" defTabSz="914309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618" algn="l" defTabSz="914309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5772" algn="l" defTabSz="914309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2927" algn="l" defTabSz="914309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081" algn="l" defTabSz="914309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236" algn="l" defTabSz="914309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20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7</xdr:col>
      <xdr:colOff>1905000</xdr:colOff>
      <xdr:row>75</xdr:row>
      <xdr:rowOff>285749</xdr:rowOff>
    </xdr:from>
    <xdr:to>
      <xdr:col>7</xdr:col>
      <xdr:colOff>2664597</xdr:colOff>
      <xdr:row>75</xdr:row>
      <xdr:rowOff>2188347</xdr:rowOff>
    </xdr:to>
    <xdr:grpSp>
      <xdr:nvGrpSpPr>
        <xdr:cNvPr id="37" name="Группа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pSpPr/>
      </xdr:nvGrpSpPr>
      <xdr:grpSpPr>
        <a:xfrm>
          <a:off x="10226261" y="31124662"/>
          <a:ext cx="759597" cy="1902598"/>
          <a:chOff x="9667875" y="31889699"/>
          <a:chExt cx="759597" cy="1902598"/>
        </a:xfrm>
      </xdr:grpSpPr>
      <xdr:pic>
        <xdr:nvPicPr>
          <xdr:cNvPr id="21" name="Picture 16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667875" y="33032700"/>
            <a:ext cx="759597" cy="759597"/>
          </a:xfrm>
          <a:prstGeom prst="rect">
            <a:avLst/>
          </a:prstGeom>
        </xdr:spPr>
      </xdr:pic>
      <xdr:grpSp>
        <xdr:nvGrpSpPr>
          <xdr:cNvPr id="22" name="Group 14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GrpSpPr/>
        </xdr:nvGrpSpPr>
        <xdr:grpSpPr>
          <a:xfrm>
            <a:off x="9686925" y="31889699"/>
            <a:ext cx="676275" cy="957211"/>
            <a:chOff x="5287622" y="3308161"/>
            <a:chExt cx="799246" cy="1214386"/>
          </a:xfrm>
        </xdr:grpSpPr>
        <xdr:sp macro="" textlink="">
          <xdr:nvSpPr>
            <xdr:cNvPr id="23" name="Freeform 139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5287622" y="3308161"/>
              <a:ext cx="799246" cy="844956"/>
            </a:xfrm>
            <a:custGeom>
              <a:avLst/>
              <a:gdLst>
                <a:gd name="connsiteX0" fmla="*/ 964368 w 1559720"/>
                <a:gd name="connsiteY0" fmla="*/ 909272 h 1648924"/>
                <a:gd name="connsiteX1" fmla="*/ 1010388 w 1559720"/>
                <a:gd name="connsiteY1" fmla="*/ 928567 h 1648924"/>
                <a:gd name="connsiteX2" fmla="*/ 1010388 w 1559720"/>
                <a:gd name="connsiteY2" fmla="*/ 1022900 h 1648924"/>
                <a:gd name="connsiteX3" fmla="*/ 943450 w 1559720"/>
                <a:gd name="connsiteY3" fmla="*/ 1168686 h 1648924"/>
                <a:gd name="connsiteX4" fmla="*/ 943450 w 1559720"/>
                <a:gd name="connsiteY4" fmla="*/ 1177262 h 1648924"/>
                <a:gd name="connsiteX5" fmla="*/ 951818 w 1559720"/>
                <a:gd name="connsiteY5" fmla="*/ 1177262 h 1648924"/>
                <a:gd name="connsiteX6" fmla="*/ 1002020 w 1559720"/>
                <a:gd name="connsiteY6" fmla="*/ 1228716 h 1648924"/>
                <a:gd name="connsiteX7" fmla="*/ 1002020 w 1559720"/>
                <a:gd name="connsiteY7" fmla="*/ 1357351 h 1648924"/>
                <a:gd name="connsiteX8" fmla="*/ 951818 w 1559720"/>
                <a:gd name="connsiteY8" fmla="*/ 1408805 h 1648924"/>
                <a:gd name="connsiteX9" fmla="*/ 918349 w 1559720"/>
                <a:gd name="connsiteY9" fmla="*/ 1408805 h 1648924"/>
                <a:gd name="connsiteX10" fmla="*/ 918349 w 1559720"/>
                <a:gd name="connsiteY10" fmla="*/ 1528865 h 1648924"/>
                <a:gd name="connsiteX11" fmla="*/ 792842 w 1559720"/>
                <a:gd name="connsiteY11" fmla="*/ 1648924 h 1648924"/>
                <a:gd name="connsiteX12" fmla="*/ 667334 w 1559720"/>
                <a:gd name="connsiteY12" fmla="*/ 1528865 h 1648924"/>
                <a:gd name="connsiteX13" fmla="*/ 667334 w 1559720"/>
                <a:gd name="connsiteY13" fmla="*/ 1408805 h 1648924"/>
                <a:gd name="connsiteX14" fmla="*/ 633866 w 1559720"/>
                <a:gd name="connsiteY14" fmla="*/ 1408805 h 1648924"/>
                <a:gd name="connsiteX15" fmla="*/ 583663 w 1559720"/>
                <a:gd name="connsiteY15" fmla="*/ 1357351 h 1648924"/>
                <a:gd name="connsiteX16" fmla="*/ 583663 w 1559720"/>
                <a:gd name="connsiteY16" fmla="*/ 1228716 h 1648924"/>
                <a:gd name="connsiteX17" fmla="*/ 633866 w 1559720"/>
                <a:gd name="connsiteY17" fmla="*/ 1177262 h 1648924"/>
                <a:gd name="connsiteX18" fmla="*/ 809576 w 1559720"/>
                <a:gd name="connsiteY18" fmla="*/ 1177262 h 1648924"/>
                <a:gd name="connsiteX19" fmla="*/ 809576 w 1559720"/>
                <a:gd name="connsiteY19" fmla="*/ 1168686 h 1648924"/>
                <a:gd name="connsiteX20" fmla="*/ 918349 w 1559720"/>
                <a:gd name="connsiteY20" fmla="*/ 928567 h 1648924"/>
                <a:gd name="connsiteX21" fmla="*/ 964368 w 1559720"/>
                <a:gd name="connsiteY21" fmla="*/ 909272 h 1648924"/>
                <a:gd name="connsiteX22" fmla="*/ 1259683 w 1559720"/>
                <a:gd name="connsiteY22" fmla="*/ 719137 h 1648924"/>
                <a:gd name="connsiteX23" fmla="*/ 1526382 w 1559720"/>
                <a:gd name="connsiteY23" fmla="*/ 719137 h 1648924"/>
                <a:gd name="connsiteX24" fmla="*/ 1559720 w 1559720"/>
                <a:gd name="connsiteY24" fmla="*/ 752475 h 1648924"/>
                <a:gd name="connsiteX25" fmla="*/ 1526382 w 1559720"/>
                <a:gd name="connsiteY25" fmla="*/ 785813 h 1648924"/>
                <a:gd name="connsiteX26" fmla="*/ 1259682 w 1559720"/>
                <a:gd name="connsiteY26" fmla="*/ 785812 h 1648924"/>
                <a:gd name="connsiteX27" fmla="*/ 1226344 w 1559720"/>
                <a:gd name="connsiteY27" fmla="*/ 752474 h 1648924"/>
                <a:gd name="connsiteX28" fmla="*/ 1226345 w 1559720"/>
                <a:gd name="connsiteY28" fmla="*/ 752475 h 1648924"/>
                <a:gd name="connsiteX29" fmla="*/ 1259683 w 1559720"/>
                <a:gd name="connsiteY29" fmla="*/ 719137 h 1648924"/>
                <a:gd name="connsiteX30" fmla="*/ 33339 w 1559720"/>
                <a:gd name="connsiteY30" fmla="*/ 719137 h 1648924"/>
                <a:gd name="connsiteX31" fmla="*/ 300038 w 1559720"/>
                <a:gd name="connsiteY31" fmla="*/ 719137 h 1648924"/>
                <a:gd name="connsiteX32" fmla="*/ 333376 w 1559720"/>
                <a:gd name="connsiteY32" fmla="*/ 752475 h 1648924"/>
                <a:gd name="connsiteX33" fmla="*/ 300038 w 1559720"/>
                <a:gd name="connsiteY33" fmla="*/ 785813 h 1648924"/>
                <a:gd name="connsiteX34" fmla="*/ 33338 w 1559720"/>
                <a:gd name="connsiteY34" fmla="*/ 785812 h 1648924"/>
                <a:gd name="connsiteX35" fmla="*/ 0 w 1559720"/>
                <a:gd name="connsiteY35" fmla="*/ 752474 h 1648924"/>
                <a:gd name="connsiteX36" fmla="*/ 1 w 1559720"/>
                <a:gd name="connsiteY36" fmla="*/ 752475 h 1648924"/>
                <a:gd name="connsiteX37" fmla="*/ 33339 w 1559720"/>
                <a:gd name="connsiteY37" fmla="*/ 719137 h 1648924"/>
                <a:gd name="connsiteX38" fmla="*/ 1046163 w 1559720"/>
                <a:gd name="connsiteY38" fmla="*/ 716783 h 1648924"/>
                <a:gd name="connsiteX39" fmla="*/ 1104066 w 1559720"/>
                <a:gd name="connsiteY39" fmla="*/ 757853 h 1648924"/>
                <a:gd name="connsiteX40" fmla="*/ 1070422 w 1559720"/>
                <a:gd name="connsiteY40" fmla="*/ 843751 h 1648924"/>
                <a:gd name="connsiteX41" fmla="*/ 709003 w 1559720"/>
                <a:gd name="connsiteY41" fmla="*/ 989737 h 1648924"/>
                <a:gd name="connsiteX42" fmla="*/ 793049 w 1559720"/>
                <a:gd name="connsiteY42" fmla="*/ 1135764 h 1648924"/>
                <a:gd name="connsiteX43" fmla="*/ 658601 w 1559720"/>
                <a:gd name="connsiteY43" fmla="*/ 1135764 h 1648924"/>
                <a:gd name="connsiteX44" fmla="*/ 616545 w 1559720"/>
                <a:gd name="connsiteY44" fmla="*/ 1084225 h 1648924"/>
                <a:gd name="connsiteX45" fmla="*/ 540910 w 1559720"/>
                <a:gd name="connsiteY45" fmla="*/ 1058456 h 1648924"/>
                <a:gd name="connsiteX46" fmla="*/ 532499 w 1559720"/>
                <a:gd name="connsiteY46" fmla="*/ 1058456 h 1648924"/>
                <a:gd name="connsiteX47" fmla="*/ 524088 w 1559720"/>
                <a:gd name="connsiteY47" fmla="*/ 1058456 h 1648924"/>
                <a:gd name="connsiteX48" fmla="*/ 465275 w 1559720"/>
                <a:gd name="connsiteY48" fmla="*/ 1015506 h 1648924"/>
                <a:gd name="connsiteX49" fmla="*/ 498919 w 1559720"/>
                <a:gd name="connsiteY49" fmla="*/ 929608 h 1648924"/>
                <a:gd name="connsiteX50" fmla="*/ 1020020 w 1559720"/>
                <a:gd name="connsiteY50" fmla="*/ 723493 h 1648924"/>
                <a:gd name="connsiteX51" fmla="*/ 1046163 w 1559720"/>
                <a:gd name="connsiteY51" fmla="*/ 716783 h 1648924"/>
                <a:gd name="connsiteX52" fmla="*/ 1046147 w 1559720"/>
                <a:gd name="connsiteY52" fmla="*/ 509357 h 1648924"/>
                <a:gd name="connsiteX53" fmla="*/ 1104063 w 1559720"/>
                <a:gd name="connsiteY53" fmla="*/ 550525 h 1648924"/>
                <a:gd name="connsiteX54" fmla="*/ 1070443 w 1559720"/>
                <a:gd name="connsiteY54" fmla="*/ 636629 h 1648924"/>
                <a:gd name="connsiteX55" fmla="*/ 549331 w 1559720"/>
                <a:gd name="connsiteY55" fmla="*/ 851888 h 1648924"/>
                <a:gd name="connsiteX56" fmla="*/ 524116 w 1559720"/>
                <a:gd name="connsiteY56" fmla="*/ 851888 h 1648924"/>
                <a:gd name="connsiteX57" fmla="*/ 465281 w 1559720"/>
                <a:gd name="connsiteY57" fmla="*/ 808836 h 1648924"/>
                <a:gd name="connsiteX58" fmla="*/ 498901 w 1559720"/>
                <a:gd name="connsiteY58" fmla="*/ 722733 h 1648924"/>
                <a:gd name="connsiteX59" fmla="*/ 1020013 w 1559720"/>
                <a:gd name="connsiteY59" fmla="*/ 516084 h 1648924"/>
                <a:gd name="connsiteX60" fmla="*/ 1046147 w 1559720"/>
                <a:gd name="connsiteY60" fmla="*/ 509357 h 1648924"/>
                <a:gd name="connsiteX61" fmla="*/ 893327 w 1559720"/>
                <a:gd name="connsiteY61" fmla="*/ 389199 h 1648924"/>
                <a:gd name="connsiteX62" fmla="*/ 952379 w 1559720"/>
                <a:gd name="connsiteY62" fmla="*/ 430142 h 1648924"/>
                <a:gd name="connsiteX63" fmla="*/ 910386 w 1559720"/>
                <a:gd name="connsiteY63" fmla="*/ 515776 h 1648924"/>
                <a:gd name="connsiteX64" fmla="*/ 549253 w 1559720"/>
                <a:gd name="connsiteY64" fmla="*/ 661353 h 1648924"/>
                <a:gd name="connsiteX65" fmla="*/ 524057 w 1559720"/>
                <a:gd name="connsiteY65" fmla="*/ 669917 h 1648924"/>
                <a:gd name="connsiteX66" fmla="*/ 465268 w 1559720"/>
                <a:gd name="connsiteY66" fmla="*/ 627100 h 1648924"/>
                <a:gd name="connsiteX67" fmla="*/ 498862 w 1559720"/>
                <a:gd name="connsiteY67" fmla="*/ 541466 h 1648924"/>
                <a:gd name="connsiteX68" fmla="*/ 868394 w 1559720"/>
                <a:gd name="connsiteY68" fmla="*/ 395889 h 1648924"/>
                <a:gd name="connsiteX69" fmla="*/ 893327 w 1559720"/>
                <a:gd name="connsiteY69" fmla="*/ 389199 h 1648924"/>
                <a:gd name="connsiteX70" fmla="*/ 1447793 w 1559720"/>
                <a:gd name="connsiteY70" fmla="*/ 334513 h 1648924"/>
                <a:gd name="connsiteX71" fmla="*/ 1468036 w 1559720"/>
                <a:gd name="connsiteY71" fmla="*/ 350046 h 1648924"/>
                <a:gd name="connsiteX72" fmla="*/ 1455834 w 1559720"/>
                <a:gd name="connsiteY72" fmla="*/ 395587 h 1648924"/>
                <a:gd name="connsiteX73" fmla="*/ 1224864 w 1559720"/>
                <a:gd name="connsiteY73" fmla="*/ 528936 h 1648924"/>
                <a:gd name="connsiteX74" fmla="*/ 1179324 w 1559720"/>
                <a:gd name="connsiteY74" fmla="*/ 516733 h 1648924"/>
                <a:gd name="connsiteX75" fmla="*/ 1179325 w 1559720"/>
                <a:gd name="connsiteY75" fmla="*/ 516734 h 1648924"/>
                <a:gd name="connsiteX76" fmla="*/ 1191528 w 1559720"/>
                <a:gd name="connsiteY76" fmla="*/ 471193 h 1648924"/>
                <a:gd name="connsiteX77" fmla="*/ 1422496 w 1559720"/>
                <a:gd name="connsiteY77" fmla="*/ 337844 h 1648924"/>
                <a:gd name="connsiteX78" fmla="*/ 1447793 w 1559720"/>
                <a:gd name="connsiteY78" fmla="*/ 334513 h 1648924"/>
                <a:gd name="connsiteX79" fmla="*/ 151169 w 1559720"/>
                <a:gd name="connsiteY79" fmla="*/ 334513 h 1648924"/>
                <a:gd name="connsiteX80" fmla="*/ 176466 w 1559720"/>
                <a:gd name="connsiteY80" fmla="*/ 337844 h 1648924"/>
                <a:gd name="connsiteX81" fmla="*/ 407434 w 1559720"/>
                <a:gd name="connsiteY81" fmla="*/ 471193 h 1648924"/>
                <a:gd name="connsiteX82" fmla="*/ 419637 w 1559720"/>
                <a:gd name="connsiteY82" fmla="*/ 516734 h 1648924"/>
                <a:gd name="connsiteX83" fmla="*/ 419638 w 1559720"/>
                <a:gd name="connsiteY83" fmla="*/ 516733 h 1648924"/>
                <a:gd name="connsiteX84" fmla="*/ 374098 w 1559720"/>
                <a:gd name="connsiteY84" fmla="*/ 528936 h 1648924"/>
                <a:gd name="connsiteX85" fmla="*/ 143128 w 1559720"/>
                <a:gd name="connsiteY85" fmla="*/ 395587 h 1648924"/>
                <a:gd name="connsiteX86" fmla="*/ 130926 w 1559720"/>
                <a:gd name="connsiteY86" fmla="*/ 350046 h 1648924"/>
                <a:gd name="connsiteX87" fmla="*/ 151169 w 1559720"/>
                <a:gd name="connsiteY87" fmla="*/ 334513 h 1648924"/>
                <a:gd name="connsiteX88" fmla="*/ 1176291 w 1559720"/>
                <a:gd name="connsiteY88" fmla="*/ 83298 h 1648924"/>
                <a:gd name="connsiteX89" fmla="*/ 1201589 w 1559720"/>
                <a:gd name="connsiteY89" fmla="*/ 86628 h 1648924"/>
                <a:gd name="connsiteX90" fmla="*/ 1213791 w 1559720"/>
                <a:gd name="connsiteY90" fmla="*/ 132169 h 1648924"/>
                <a:gd name="connsiteX91" fmla="*/ 1080440 w 1559720"/>
                <a:gd name="connsiteY91" fmla="*/ 363137 h 1648924"/>
                <a:gd name="connsiteX92" fmla="*/ 1034900 w 1559720"/>
                <a:gd name="connsiteY92" fmla="*/ 375340 h 1648924"/>
                <a:gd name="connsiteX93" fmla="*/ 1034901 w 1559720"/>
                <a:gd name="connsiteY93" fmla="*/ 375339 h 1648924"/>
                <a:gd name="connsiteX94" fmla="*/ 1022699 w 1559720"/>
                <a:gd name="connsiteY94" fmla="*/ 329799 h 1648924"/>
                <a:gd name="connsiteX95" fmla="*/ 1156048 w 1559720"/>
                <a:gd name="connsiteY95" fmla="*/ 98831 h 1648924"/>
                <a:gd name="connsiteX96" fmla="*/ 1176291 w 1559720"/>
                <a:gd name="connsiteY96" fmla="*/ 83298 h 1648924"/>
                <a:gd name="connsiteX97" fmla="*/ 422671 w 1559720"/>
                <a:gd name="connsiteY97" fmla="*/ 83298 h 1648924"/>
                <a:gd name="connsiteX98" fmla="*/ 442914 w 1559720"/>
                <a:gd name="connsiteY98" fmla="*/ 98831 h 1648924"/>
                <a:gd name="connsiteX99" fmla="*/ 576263 w 1559720"/>
                <a:gd name="connsiteY99" fmla="*/ 329799 h 1648924"/>
                <a:gd name="connsiteX100" fmla="*/ 564061 w 1559720"/>
                <a:gd name="connsiteY100" fmla="*/ 375339 h 1648924"/>
                <a:gd name="connsiteX101" fmla="*/ 564062 w 1559720"/>
                <a:gd name="connsiteY101" fmla="*/ 375340 h 1648924"/>
                <a:gd name="connsiteX102" fmla="*/ 518522 w 1559720"/>
                <a:gd name="connsiteY102" fmla="*/ 363137 h 1648924"/>
                <a:gd name="connsiteX103" fmla="*/ 385171 w 1559720"/>
                <a:gd name="connsiteY103" fmla="*/ 132169 h 1648924"/>
                <a:gd name="connsiteX104" fmla="*/ 397373 w 1559720"/>
                <a:gd name="connsiteY104" fmla="*/ 86628 h 1648924"/>
                <a:gd name="connsiteX105" fmla="*/ 422671 w 1559720"/>
                <a:gd name="connsiteY105" fmla="*/ 83298 h 1648924"/>
                <a:gd name="connsiteX106" fmla="*/ 810420 w 1559720"/>
                <a:gd name="connsiteY106" fmla="*/ 0 h 1648924"/>
                <a:gd name="connsiteX107" fmla="*/ 843758 w 1559720"/>
                <a:gd name="connsiteY107" fmla="*/ 33338 h 1648924"/>
                <a:gd name="connsiteX108" fmla="*/ 843757 w 1559720"/>
                <a:gd name="connsiteY108" fmla="*/ 300038 h 1648924"/>
                <a:gd name="connsiteX109" fmla="*/ 810419 w 1559720"/>
                <a:gd name="connsiteY109" fmla="*/ 333376 h 1648924"/>
                <a:gd name="connsiteX110" fmla="*/ 810420 w 1559720"/>
                <a:gd name="connsiteY110" fmla="*/ 333375 h 1648924"/>
                <a:gd name="connsiteX111" fmla="*/ 777082 w 1559720"/>
                <a:gd name="connsiteY111" fmla="*/ 300037 h 1648924"/>
                <a:gd name="connsiteX112" fmla="*/ 777082 w 1559720"/>
                <a:gd name="connsiteY112" fmla="*/ 33338 h 1648924"/>
                <a:gd name="connsiteX113" fmla="*/ 810420 w 1559720"/>
                <a:gd name="connsiteY113" fmla="*/ 0 h 16489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  <a:cxn ang="0">
                  <a:pos x="connsiteX44" y="connsiteY44"/>
                </a:cxn>
                <a:cxn ang="0">
                  <a:pos x="connsiteX45" y="connsiteY45"/>
                </a:cxn>
                <a:cxn ang="0">
                  <a:pos x="connsiteX46" y="connsiteY46"/>
                </a:cxn>
                <a:cxn ang="0">
                  <a:pos x="connsiteX47" y="connsiteY47"/>
                </a:cxn>
                <a:cxn ang="0">
                  <a:pos x="connsiteX48" y="connsiteY48"/>
                </a:cxn>
                <a:cxn ang="0">
                  <a:pos x="connsiteX49" y="connsiteY49"/>
                </a:cxn>
                <a:cxn ang="0">
                  <a:pos x="connsiteX50" y="connsiteY50"/>
                </a:cxn>
                <a:cxn ang="0">
                  <a:pos x="connsiteX51" y="connsiteY51"/>
                </a:cxn>
                <a:cxn ang="0">
                  <a:pos x="connsiteX52" y="connsiteY52"/>
                </a:cxn>
                <a:cxn ang="0">
                  <a:pos x="connsiteX53" y="connsiteY53"/>
                </a:cxn>
                <a:cxn ang="0">
                  <a:pos x="connsiteX54" y="connsiteY54"/>
                </a:cxn>
                <a:cxn ang="0">
                  <a:pos x="connsiteX55" y="connsiteY55"/>
                </a:cxn>
                <a:cxn ang="0">
                  <a:pos x="connsiteX56" y="connsiteY56"/>
                </a:cxn>
                <a:cxn ang="0">
                  <a:pos x="connsiteX57" y="connsiteY57"/>
                </a:cxn>
                <a:cxn ang="0">
                  <a:pos x="connsiteX58" y="connsiteY58"/>
                </a:cxn>
                <a:cxn ang="0">
                  <a:pos x="connsiteX59" y="connsiteY59"/>
                </a:cxn>
                <a:cxn ang="0">
                  <a:pos x="connsiteX60" y="connsiteY60"/>
                </a:cxn>
                <a:cxn ang="0">
                  <a:pos x="connsiteX61" y="connsiteY61"/>
                </a:cxn>
                <a:cxn ang="0">
                  <a:pos x="connsiteX62" y="connsiteY62"/>
                </a:cxn>
                <a:cxn ang="0">
                  <a:pos x="connsiteX63" y="connsiteY63"/>
                </a:cxn>
                <a:cxn ang="0">
                  <a:pos x="connsiteX64" y="connsiteY64"/>
                </a:cxn>
                <a:cxn ang="0">
                  <a:pos x="connsiteX65" y="connsiteY65"/>
                </a:cxn>
                <a:cxn ang="0">
                  <a:pos x="connsiteX66" y="connsiteY66"/>
                </a:cxn>
                <a:cxn ang="0">
                  <a:pos x="connsiteX67" y="connsiteY67"/>
                </a:cxn>
                <a:cxn ang="0">
                  <a:pos x="connsiteX68" y="connsiteY68"/>
                </a:cxn>
                <a:cxn ang="0">
                  <a:pos x="connsiteX69" y="connsiteY69"/>
                </a:cxn>
                <a:cxn ang="0">
                  <a:pos x="connsiteX70" y="connsiteY70"/>
                </a:cxn>
                <a:cxn ang="0">
                  <a:pos x="connsiteX71" y="connsiteY71"/>
                </a:cxn>
                <a:cxn ang="0">
                  <a:pos x="connsiteX72" y="connsiteY72"/>
                </a:cxn>
                <a:cxn ang="0">
                  <a:pos x="connsiteX73" y="connsiteY73"/>
                </a:cxn>
                <a:cxn ang="0">
                  <a:pos x="connsiteX74" y="connsiteY74"/>
                </a:cxn>
                <a:cxn ang="0">
                  <a:pos x="connsiteX75" y="connsiteY75"/>
                </a:cxn>
                <a:cxn ang="0">
                  <a:pos x="connsiteX76" y="connsiteY76"/>
                </a:cxn>
                <a:cxn ang="0">
                  <a:pos x="connsiteX77" y="connsiteY77"/>
                </a:cxn>
                <a:cxn ang="0">
                  <a:pos x="connsiteX78" y="connsiteY78"/>
                </a:cxn>
                <a:cxn ang="0">
                  <a:pos x="connsiteX79" y="connsiteY79"/>
                </a:cxn>
                <a:cxn ang="0">
                  <a:pos x="connsiteX80" y="connsiteY80"/>
                </a:cxn>
                <a:cxn ang="0">
                  <a:pos x="connsiteX81" y="connsiteY81"/>
                </a:cxn>
                <a:cxn ang="0">
                  <a:pos x="connsiteX82" y="connsiteY82"/>
                </a:cxn>
                <a:cxn ang="0">
                  <a:pos x="connsiteX83" y="connsiteY83"/>
                </a:cxn>
                <a:cxn ang="0">
                  <a:pos x="connsiteX84" y="connsiteY84"/>
                </a:cxn>
                <a:cxn ang="0">
                  <a:pos x="connsiteX85" y="connsiteY85"/>
                </a:cxn>
                <a:cxn ang="0">
                  <a:pos x="connsiteX86" y="connsiteY86"/>
                </a:cxn>
                <a:cxn ang="0">
                  <a:pos x="connsiteX87" y="connsiteY87"/>
                </a:cxn>
                <a:cxn ang="0">
                  <a:pos x="connsiteX88" y="connsiteY88"/>
                </a:cxn>
                <a:cxn ang="0">
                  <a:pos x="connsiteX89" y="connsiteY89"/>
                </a:cxn>
                <a:cxn ang="0">
                  <a:pos x="connsiteX90" y="connsiteY90"/>
                </a:cxn>
                <a:cxn ang="0">
                  <a:pos x="connsiteX91" y="connsiteY91"/>
                </a:cxn>
                <a:cxn ang="0">
                  <a:pos x="connsiteX92" y="connsiteY92"/>
                </a:cxn>
                <a:cxn ang="0">
                  <a:pos x="connsiteX93" y="connsiteY93"/>
                </a:cxn>
                <a:cxn ang="0">
                  <a:pos x="connsiteX94" y="connsiteY94"/>
                </a:cxn>
                <a:cxn ang="0">
                  <a:pos x="connsiteX95" y="connsiteY95"/>
                </a:cxn>
                <a:cxn ang="0">
                  <a:pos x="connsiteX96" y="connsiteY96"/>
                </a:cxn>
                <a:cxn ang="0">
                  <a:pos x="connsiteX97" y="connsiteY97"/>
                </a:cxn>
                <a:cxn ang="0">
                  <a:pos x="connsiteX98" y="connsiteY98"/>
                </a:cxn>
                <a:cxn ang="0">
                  <a:pos x="connsiteX99" y="connsiteY99"/>
                </a:cxn>
                <a:cxn ang="0">
                  <a:pos x="connsiteX100" y="connsiteY100"/>
                </a:cxn>
                <a:cxn ang="0">
                  <a:pos x="connsiteX101" y="connsiteY101"/>
                </a:cxn>
                <a:cxn ang="0">
                  <a:pos x="connsiteX102" y="connsiteY102"/>
                </a:cxn>
                <a:cxn ang="0">
                  <a:pos x="connsiteX103" y="connsiteY103"/>
                </a:cxn>
                <a:cxn ang="0">
                  <a:pos x="connsiteX104" y="connsiteY104"/>
                </a:cxn>
                <a:cxn ang="0">
                  <a:pos x="connsiteX105" y="connsiteY105"/>
                </a:cxn>
                <a:cxn ang="0">
                  <a:pos x="connsiteX106" y="connsiteY106"/>
                </a:cxn>
                <a:cxn ang="0">
                  <a:pos x="connsiteX107" y="connsiteY107"/>
                </a:cxn>
                <a:cxn ang="0">
                  <a:pos x="connsiteX108" y="connsiteY108"/>
                </a:cxn>
                <a:cxn ang="0">
                  <a:pos x="connsiteX109" y="connsiteY109"/>
                </a:cxn>
                <a:cxn ang="0">
                  <a:pos x="connsiteX110" y="connsiteY110"/>
                </a:cxn>
                <a:cxn ang="0">
                  <a:pos x="connsiteX111" y="connsiteY111"/>
                </a:cxn>
                <a:cxn ang="0">
                  <a:pos x="connsiteX112" y="connsiteY112"/>
                </a:cxn>
                <a:cxn ang="0">
                  <a:pos x="connsiteX113" y="connsiteY113"/>
                </a:cxn>
              </a:cxnLst>
              <a:rect l="l" t="t" r="r" b="b"/>
              <a:pathLst>
                <a:path w="1559720" h="1648924">
                  <a:moveTo>
                    <a:pt x="964368" y="909272"/>
                  </a:moveTo>
                  <a:cubicBezTo>
                    <a:pt x="981103" y="909272"/>
                    <a:pt x="997837" y="915704"/>
                    <a:pt x="1010388" y="928567"/>
                  </a:cubicBezTo>
                  <a:cubicBezTo>
                    <a:pt x="1035489" y="954294"/>
                    <a:pt x="1035489" y="997173"/>
                    <a:pt x="1010388" y="1022900"/>
                  </a:cubicBezTo>
                  <a:cubicBezTo>
                    <a:pt x="951818" y="1091505"/>
                    <a:pt x="943450" y="1142959"/>
                    <a:pt x="943450" y="1168686"/>
                  </a:cubicBezTo>
                  <a:cubicBezTo>
                    <a:pt x="943450" y="1177262"/>
                    <a:pt x="943450" y="1177262"/>
                    <a:pt x="943450" y="1177262"/>
                  </a:cubicBezTo>
                  <a:cubicBezTo>
                    <a:pt x="943450" y="1177262"/>
                    <a:pt x="943450" y="1177262"/>
                    <a:pt x="951818" y="1177262"/>
                  </a:cubicBezTo>
                  <a:cubicBezTo>
                    <a:pt x="985286" y="1177262"/>
                    <a:pt x="1002020" y="1202989"/>
                    <a:pt x="1002020" y="1228716"/>
                  </a:cubicBezTo>
                  <a:cubicBezTo>
                    <a:pt x="1002020" y="1228716"/>
                    <a:pt x="1002020" y="1228716"/>
                    <a:pt x="1002020" y="1357351"/>
                  </a:cubicBezTo>
                  <a:cubicBezTo>
                    <a:pt x="1002020" y="1383078"/>
                    <a:pt x="985286" y="1408805"/>
                    <a:pt x="951818" y="1408805"/>
                  </a:cubicBezTo>
                  <a:cubicBezTo>
                    <a:pt x="951818" y="1408805"/>
                    <a:pt x="951818" y="1408805"/>
                    <a:pt x="918349" y="1408805"/>
                  </a:cubicBezTo>
                  <a:cubicBezTo>
                    <a:pt x="918349" y="1408805"/>
                    <a:pt x="918349" y="1408805"/>
                    <a:pt x="918349" y="1528865"/>
                  </a:cubicBezTo>
                  <a:cubicBezTo>
                    <a:pt x="918349" y="1597470"/>
                    <a:pt x="859779" y="1648924"/>
                    <a:pt x="792842" y="1648924"/>
                  </a:cubicBezTo>
                  <a:cubicBezTo>
                    <a:pt x="725905" y="1648924"/>
                    <a:pt x="667334" y="1597470"/>
                    <a:pt x="667334" y="1528865"/>
                  </a:cubicBezTo>
                  <a:cubicBezTo>
                    <a:pt x="667334" y="1528865"/>
                    <a:pt x="667334" y="1528865"/>
                    <a:pt x="667334" y="1408805"/>
                  </a:cubicBezTo>
                  <a:cubicBezTo>
                    <a:pt x="667334" y="1408805"/>
                    <a:pt x="667334" y="1408805"/>
                    <a:pt x="633866" y="1408805"/>
                  </a:cubicBezTo>
                  <a:cubicBezTo>
                    <a:pt x="600397" y="1408805"/>
                    <a:pt x="583663" y="1383078"/>
                    <a:pt x="583663" y="1357351"/>
                  </a:cubicBezTo>
                  <a:cubicBezTo>
                    <a:pt x="583663" y="1357351"/>
                    <a:pt x="583663" y="1357351"/>
                    <a:pt x="583663" y="1228716"/>
                  </a:cubicBezTo>
                  <a:cubicBezTo>
                    <a:pt x="583663" y="1202989"/>
                    <a:pt x="600397" y="1177262"/>
                    <a:pt x="633866" y="1177262"/>
                  </a:cubicBezTo>
                  <a:cubicBezTo>
                    <a:pt x="633866" y="1177262"/>
                    <a:pt x="633866" y="1177262"/>
                    <a:pt x="809576" y="1177262"/>
                  </a:cubicBezTo>
                  <a:cubicBezTo>
                    <a:pt x="809576" y="1177262"/>
                    <a:pt x="809576" y="1177262"/>
                    <a:pt x="809576" y="1168686"/>
                  </a:cubicBezTo>
                  <a:cubicBezTo>
                    <a:pt x="809576" y="1108657"/>
                    <a:pt x="834677" y="1022900"/>
                    <a:pt x="918349" y="928567"/>
                  </a:cubicBezTo>
                  <a:cubicBezTo>
                    <a:pt x="930899" y="915704"/>
                    <a:pt x="947634" y="909272"/>
                    <a:pt x="964368" y="909272"/>
                  </a:cubicBezTo>
                  <a:close/>
                  <a:moveTo>
                    <a:pt x="1259683" y="719137"/>
                  </a:moveTo>
                  <a:lnTo>
                    <a:pt x="1526382" y="719137"/>
                  </a:lnTo>
                  <a:cubicBezTo>
                    <a:pt x="1544794" y="719137"/>
                    <a:pt x="1559720" y="734063"/>
                    <a:pt x="1559720" y="752475"/>
                  </a:cubicBezTo>
                  <a:cubicBezTo>
                    <a:pt x="1559720" y="770887"/>
                    <a:pt x="1544794" y="785813"/>
                    <a:pt x="1526382" y="785813"/>
                  </a:cubicBezTo>
                  <a:cubicBezTo>
                    <a:pt x="1437482" y="785813"/>
                    <a:pt x="1348582" y="785812"/>
                    <a:pt x="1259682" y="785812"/>
                  </a:cubicBezTo>
                  <a:cubicBezTo>
                    <a:pt x="1241270" y="785812"/>
                    <a:pt x="1226344" y="770886"/>
                    <a:pt x="1226344" y="752474"/>
                  </a:cubicBezTo>
                  <a:lnTo>
                    <a:pt x="1226345" y="752475"/>
                  </a:lnTo>
                  <a:cubicBezTo>
                    <a:pt x="1226345" y="734063"/>
                    <a:pt x="1241271" y="719137"/>
                    <a:pt x="1259683" y="719137"/>
                  </a:cubicBezTo>
                  <a:close/>
                  <a:moveTo>
                    <a:pt x="33339" y="719137"/>
                  </a:moveTo>
                  <a:lnTo>
                    <a:pt x="300038" y="719137"/>
                  </a:lnTo>
                  <a:cubicBezTo>
                    <a:pt x="318450" y="719137"/>
                    <a:pt x="333376" y="734063"/>
                    <a:pt x="333376" y="752475"/>
                  </a:cubicBezTo>
                  <a:cubicBezTo>
                    <a:pt x="333376" y="770887"/>
                    <a:pt x="318450" y="785813"/>
                    <a:pt x="300038" y="785813"/>
                  </a:cubicBezTo>
                  <a:cubicBezTo>
                    <a:pt x="211138" y="785813"/>
                    <a:pt x="122238" y="785812"/>
                    <a:pt x="33338" y="785812"/>
                  </a:cubicBezTo>
                  <a:cubicBezTo>
                    <a:pt x="14926" y="785812"/>
                    <a:pt x="0" y="770886"/>
                    <a:pt x="0" y="752474"/>
                  </a:cubicBezTo>
                  <a:lnTo>
                    <a:pt x="1" y="752475"/>
                  </a:lnTo>
                  <a:cubicBezTo>
                    <a:pt x="1" y="734063"/>
                    <a:pt x="14927" y="719137"/>
                    <a:pt x="33339" y="719137"/>
                  </a:cubicBezTo>
                  <a:close/>
                  <a:moveTo>
                    <a:pt x="1046163" y="716783"/>
                  </a:moveTo>
                  <a:cubicBezTo>
                    <a:pt x="1072561" y="715977"/>
                    <a:pt x="1097758" y="732083"/>
                    <a:pt x="1104066" y="757853"/>
                  </a:cubicBezTo>
                  <a:cubicBezTo>
                    <a:pt x="1120889" y="792212"/>
                    <a:pt x="1104066" y="835161"/>
                    <a:pt x="1070422" y="843751"/>
                  </a:cubicBezTo>
                  <a:lnTo>
                    <a:pt x="709003" y="989737"/>
                  </a:lnTo>
                  <a:cubicBezTo>
                    <a:pt x="767620" y="1019361"/>
                    <a:pt x="801460" y="1111419"/>
                    <a:pt x="793049" y="1135764"/>
                  </a:cubicBezTo>
                  <a:lnTo>
                    <a:pt x="658601" y="1135764"/>
                  </a:lnTo>
                  <a:cubicBezTo>
                    <a:pt x="650190" y="1109995"/>
                    <a:pt x="641779" y="1101405"/>
                    <a:pt x="616545" y="1084225"/>
                  </a:cubicBezTo>
                  <a:cubicBezTo>
                    <a:pt x="591377" y="1067045"/>
                    <a:pt x="549321" y="1058456"/>
                    <a:pt x="540910" y="1058456"/>
                  </a:cubicBezTo>
                  <a:lnTo>
                    <a:pt x="532499" y="1058456"/>
                  </a:lnTo>
                  <a:lnTo>
                    <a:pt x="524088" y="1058456"/>
                  </a:lnTo>
                  <a:cubicBezTo>
                    <a:pt x="498919" y="1058456"/>
                    <a:pt x="473686" y="1041276"/>
                    <a:pt x="465275" y="1015506"/>
                  </a:cubicBezTo>
                  <a:cubicBezTo>
                    <a:pt x="448452" y="981147"/>
                    <a:pt x="465275" y="946787"/>
                    <a:pt x="498919" y="929608"/>
                  </a:cubicBezTo>
                  <a:lnTo>
                    <a:pt x="1020020" y="723493"/>
                  </a:lnTo>
                  <a:cubicBezTo>
                    <a:pt x="1028431" y="719198"/>
                    <a:pt x="1037364" y="717051"/>
                    <a:pt x="1046163" y="716783"/>
                  </a:cubicBezTo>
                  <a:close/>
                  <a:moveTo>
                    <a:pt x="1046147" y="509357"/>
                  </a:moveTo>
                  <a:cubicBezTo>
                    <a:pt x="1072544" y="508550"/>
                    <a:pt x="1097759" y="524694"/>
                    <a:pt x="1104063" y="550525"/>
                  </a:cubicBezTo>
                  <a:cubicBezTo>
                    <a:pt x="1120873" y="584967"/>
                    <a:pt x="1104063" y="628018"/>
                    <a:pt x="1070443" y="636629"/>
                  </a:cubicBezTo>
                  <a:cubicBezTo>
                    <a:pt x="549331" y="851888"/>
                    <a:pt x="549331" y="851888"/>
                    <a:pt x="549331" y="851888"/>
                  </a:cubicBezTo>
                  <a:cubicBezTo>
                    <a:pt x="540926" y="851888"/>
                    <a:pt x="532521" y="851888"/>
                    <a:pt x="524116" y="851888"/>
                  </a:cubicBezTo>
                  <a:cubicBezTo>
                    <a:pt x="498901" y="851888"/>
                    <a:pt x="473686" y="834667"/>
                    <a:pt x="465281" y="808836"/>
                  </a:cubicBezTo>
                  <a:cubicBezTo>
                    <a:pt x="448471" y="774395"/>
                    <a:pt x="465281" y="739953"/>
                    <a:pt x="498901" y="722733"/>
                  </a:cubicBezTo>
                  <a:cubicBezTo>
                    <a:pt x="1020013" y="516084"/>
                    <a:pt x="1020013" y="516084"/>
                    <a:pt x="1020013" y="516084"/>
                  </a:cubicBezTo>
                  <a:cubicBezTo>
                    <a:pt x="1028418" y="511778"/>
                    <a:pt x="1037348" y="509626"/>
                    <a:pt x="1046147" y="509357"/>
                  </a:cubicBezTo>
                  <a:close/>
                  <a:moveTo>
                    <a:pt x="893327" y="389199"/>
                  </a:moveTo>
                  <a:cubicBezTo>
                    <a:pt x="917735" y="388396"/>
                    <a:pt x="939781" y="404452"/>
                    <a:pt x="952379" y="430142"/>
                  </a:cubicBezTo>
                  <a:cubicBezTo>
                    <a:pt x="960777" y="464396"/>
                    <a:pt x="943980" y="507213"/>
                    <a:pt x="910386" y="515776"/>
                  </a:cubicBezTo>
                  <a:cubicBezTo>
                    <a:pt x="549253" y="661353"/>
                    <a:pt x="549253" y="661353"/>
                    <a:pt x="549253" y="661353"/>
                  </a:cubicBezTo>
                  <a:cubicBezTo>
                    <a:pt x="540854" y="669917"/>
                    <a:pt x="532456" y="669917"/>
                    <a:pt x="524057" y="669917"/>
                  </a:cubicBezTo>
                  <a:cubicBezTo>
                    <a:pt x="498862" y="669917"/>
                    <a:pt x="473666" y="652790"/>
                    <a:pt x="465268" y="627100"/>
                  </a:cubicBezTo>
                  <a:cubicBezTo>
                    <a:pt x="448471" y="592846"/>
                    <a:pt x="465268" y="558593"/>
                    <a:pt x="498862" y="541466"/>
                  </a:cubicBezTo>
                  <a:cubicBezTo>
                    <a:pt x="868394" y="395889"/>
                    <a:pt x="868394" y="395889"/>
                    <a:pt x="868394" y="395889"/>
                  </a:cubicBezTo>
                  <a:cubicBezTo>
                    <a:pt x="876792" y="391607"/>
                    <a:pt x="885191" y="389466"/>
                    <a:pt x="893327" y="389199"/>
                  </a:cubicBezTo>
                  <a:close/>
                  <a:moveTo>
                    <a:pt x="1447793" y="334513"/>
                  </a:moveTo>
                  <a:cubicBezTo>
                    <a:pt x="1456034" y="336721"/>
                    <a:pt x="1463433" y="342074"/>
                    <a:pt x="1468036" y="350046"/>
                  </a:cubicBezTo>
                  <a:cubicBezTo>
                    <a:pt x="1477242" y="365991"/>
                    <a:pt x="1471779" y="386381"/>
                    <a:pt x="1455834" y="395587"/>
                  </a:cubicBezTo>
                  <a:cubicBezTo>
                    <a:pt x="1378844" y="440037"/>
                    <a:pt x="1301854" y="484486"/>
                    <a:pt x="1224864" y="528936"/>
                  </a:cubicBezTo>
                  <a:cubicBezTo>
                    <a:pt x="1208919" y="538142"/>
                    <a:pt x="1188530" y="532678"/>
                    <a:pt x="1179324" y="516733"/>
                  </a:cubicBezTo>
                  <a:lnTo>
                    <a:pt x="1179325" y="516734"/>
                  </a:lnTo>
                  <a:cubicBezTo>
                    <a:pt x="1170119" y="500788"/>
                    <a:pt x="1175582" y="480399"/>
                    <a:pt x="1191528" y="471193"/>
                  </a:cubicBezTo>
                  <a:lnTo>
                    <a:pt x="1422496" y="337844"/>
                  </a:lnTo>
                  <a:cubicBezTo>
                    <a:pt x="1430468" y="333241"/>
                    <a:pt x="1439552" y="332305"/>
                    <a:pt x="1447793" y="334513"/>
                  </a:cubicBezTo>
                  <a:close/>
                  <a:moveTo>
                    <a:pt x="151169" y="334513"/>
                  </a:moveTo>
                  <a:cubicBezTo>
                    <a:pt x="159410" y="332305"/>
                    <a:pt x="168494" y="333241"/>
                    <a:pt x="176466" y="337844"/>
                  </a:cubicBezTo>
                  <a:lnTo>
                    <a:pt x="407434" y="471193"/>
                  </a:lnTo>
                  <a:cubicBezTo>
                    <a:pt x="423380" y="480399"/>
                    <a:pt x="428843" y="500788"/>
                    <a:pt x="419637" y="516734"/>
                  </a:cubicBezTo>
                  <a:lnTo>
                    <a:pt x="419638" y="516733"/>
                  </a:lnTo>
                  <a:cubicBezTo>
                    <a:pt x="410432" y="532678"/>
                    <a:pt x="390043" y="538142"/>
                    <a:pt x="374098" y="528936"/>
                  </a:cubicBezTo>
                  <a:cubicBezTo>
                    <a:pt x="297108" y="484486"/>
                    <a:pt x="220118" y="440037"/>
                    <a:pt x="143128" y="395587"/>
                  </a:cubicBezTo>
                  <a:cubicBezTo>
                    <a:pt x="127183" y="386381"/>
                    <a:pt x="121720" y="365991"/>
                    <a:pt x="130926" y="350046"/>
                  </a:cubicBezTo>
                  <a:cubicBezTo>
                    <a:pt x="135529" y="342074"/>
                    <a:pt x="142928" y="336721"/>
                    <a:pt x="151169" y="334513"/>
                  </a:cubicBezTo>
                  <a:close/>
                  <a:moveTo>
                    <a:pt x="1176291" y="83298"/>
                  </a:moveTo>
                  <a:cubicBezTo>
                    <a:pt x="1184532" y="81089"/>
                    <a:pt x="1193616" y="82025"/>
                    <a:pt x="1201589" y="86628"/>
                  </a:cubicBezTo>
                  <a:cubicBezTo>
                    <a:pt x="1217534" y="95834"/>
                    <a:pt x="1222997" y="116223"/>
                    <a:pt x="1213791" y="132169"/>
                  </a:cubicBezTo>
                  <a:cubicBezTo>
                    <a:pt x="1169341" y="209158"/>
                    <a:pt x="1124890" y="286147"/>
                    <a:pt x="1080440" y="363137"/>
                  </a:cubicBezTo>
                  <a:cubicBezTo>
                    <a:pt x="1071234" y="379082"/>
                    <a:pt x="1050845" y="384546"/>
                    <a:pt x="1034900" y="375340"/>
                  </a:cubicBezTo>
                  <a:lnTo>
                    <a:pt x="1034901" y="375339"/>
                  </a:lnTo>
                  <a:cubicBezTo>
                    <a:pt x="1018956" y="366133"/>
                    <a:pt x="1013493" y="345744"/>
                    <a:pt x="1022699" y="329799"/>
                  </a:cubicBezTo>
                  <a:lnTo>
                    <a:pt x="1156048" y="98831"/>
                  </a:lnTo>
                  <a:cubicBezTo>
                    <a:pt x="1160651" y="90858"/>
                    <a:pt x="1168050" y="85506"/>
                    <a:pt x="1176291" y="83298"/>
                  </a:cubicBezTo>
                  <a:close/>
                  <a:moveTo>
                    <a:pt x="422671" y="83298"/>
                  </a:moveTo>
                  <a:cubicBezTo>
                    <a:pt x="430912" y="85506"/>
                    <a:pt x="438311" y="90858"/>
                    <a:pt x="442914" y="98831"/>
                  </a:cubicBezTo>
                  <a:lnTo>
                    <a:pt x="576263" y="329799"/>
                  </a:lnTo>
                  <a:cubicBezTo>
                    <a:pt x="585469" y="345744"/>
                    <a:pt x="580006" y="366133"/>
                    <a:pt x="564061" y="375339"/>
                  </a:cubicBezTo>
                  <a:lnTo>
                    <a:pt x="564062" y="375340"/>
                  </a:lnTo>
                  <a:cubicBezTo>
                    <a:pt x="548117" y="384546"/>
                    <a:pt x="527728" y="379082"/>
                    <a:pt x="518522" y="363137"/>
                  </a:cubicBezTo>
                  <a:cubicBezTo>
                    <a:pt x="474072" y="286147"/>
                    <a:pt x="429621" y="209158"/>
                    <a:pt x="385171" y="132169"/>
                  </a:cubicBezTo>
                  <a:cubicBezTo>
                    <a:pt x="375965" y="116223"/>
                    <a:pt x="381428" y="95834"/>
                    <a:pt x="397373" y="86628"/>
                  </a:cubicBezTo>
                  <a:cubicBezTo>
                    <a:pt x="405346" y="82025"/>
                    <a:pt x="414430" y="81089"/>
                    <a:pt x="422671" y="83298"/>
                  </a:cubicBezTo>
                  <a:close/>
                  <a:moveTo>
                    <a:pt x="810420" y="0"/>
                  </a:moveTo>
                  <a:cubicBezTo>
                    <a:pt x="828832" y="0"/>
                    <a:pt x="843758" y="14926"/>
                    <a:pt x="843758" y="33338"/>
                  </a:cubicBezTo>
                  <a:cubicBezTo>
                    <a:pt x="843758" y="122238"/>
                    <a:pt x="843757" y="211138"/>
                    <a:pt x="843757" y="300038"/>
                  </a:cubicBezTo>
                  <a:cubicBezTo>
                    <a:pt x="843757" y="318450"/>
                    <a:pt x="828831" y="333376"/>
                    <a:pt x="810419" y="333376"/>
                  </a:cubicBezTo>
                  <a:lnTo>
                    <a:pt x="810420" y="333375"/>
                  </a:lnTo>
                  <a:cubicBezTo>
                    <a:pt x="792008" y="333375"/>
                    <a:pt x="777082" y="318449"/>
                    <a:pt x="777082" y="300037"/>
                  </a:cubicBezTo>
                  <a:lnTo>
                    <a:pt x="777082" y="33338"/>
                  </a:lnTo>
                  <a:cubicBezTo>
                    <a:pt x="777082" y="14926"/>
                    <a:pt x="792008" y="0"/>
                    <a:pt x="810420" y="0"/>
                  </a:cubicBezTo>
                  <a:close/>
                </a:path>
              </a:pathLst>
            </a:custGeom>
            <a:solidFill>
              <a:srgbClr val="FAC85F"/>
            </a:solidFill>
            <a:ln>
              <a:noFill/>
            </a:ln>
          </xdr:spPr>
          <xdr:txBody>
            <a:bodyPr vert="horz" wrap="square" lIns="66675" tIns="33338" rIns="66675" bIns="33338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914309" rtl="0" eaLnBrk="1" latinLnBrk="0" hangingPunct="1">
                <a:defRPr lang="en-CA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154" algn="l" defTabSz="914309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309" algn="l" defTabSz="914309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463" algn="l" defTabSz="914309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618" algn="l" defTabSz="914309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5772" algn="l" defTabSz="914309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2927" algn="l" defTabSz="914309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081" algn="l" defTabSz="914309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236" algn="l" defTabSz="914309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600"/>
            </a:p>
          </xdr:txBody>
        </xdr:sp>
        <xdr:sp macro="" textlink="">
          <xdr:nvSpPr>
            <xdr:cNvPr id="24" name="Freeform 142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SpPr/>
          </xdr:nvSpPr>
          <xdr:spPr>
            <a:xfrm>
              <a:off x="5419550" y="4119647"/>
              <a:ext cx="397313" cy="402900"/>
            </a:xfrm>
            <a:custGeom>
              <a:avLst/>
              <a:gdLst>
                <a:gd name="connsiteX0" fmla="*/ 773043 w 1605897"/>
                <a:gd name="connsiteY0" fmla="*/ 627341 h 1629994"/>
                <a:gd name="connsiteX1" fmla="*/ 823966 w 1605897"/>
                <a:gd name="connsiteY1" fmla="*/ 706895 h 1629994"/>
                <a:gd name="connsiteX2" fmla="*/ 204913 w 1605897"/>
                <a:gd name="connsiteY2" fmla="*/ 1103151 h 1629994"/>
                <a:gd name="connsiteX3" fmla="*/ 153990 w 1605897"/>
                <a:gd name="connsiteY3" fmla="*/ 1023597 h 1629994"/>
                <a:gd name="connsiteX4" fmla="*/ 68231 w 1605897"/>
                <a:gd name="connsiteY4" fmla="*/ 492577 h 1629994"/>
                <a:gd name="connsiteX5" fmla="*/ 151235 w 1605897"/>
                <a:gd name="connsiteY5" fmla="*/ 529252 h 1629994"/>
                <a:gd name="connsiteX6" fmla="*/ 355662 w 1605897"/>
                <a:gd name="connsiteY6" fmla="*/ 848620 h 1629994"/>
                <a:gd name="connsiteX7" fmla="*/ 217215 w 1605897"/>
                <a:gd name="connsiteY7" fmla="*/ 936859 h 1629994"/>
                <a:gd name="connsiteX8" fmla="*/ 12960 w 1605897"/>
                <a:gd name="connsiteY8" fmla="*/ 617761 h 1629994"/>
                <a:gd name="connsiteX9" fmla="*/ 37843 w 1605897"/>
                <a:gd name="connsiteY9" fmla="*/ 504369 h 1629994"/>
                <a:gd name="connsiteX10" fmla="*/ 68231 w 1605897"/>
                <a:gd name="connsiteY10" fmla="*/ 492577 h 1629994"/>
                <a:gd name="connsiteX11" fmla="*/ 382436 w 1605897"/>
                <a:gd name="connsiteY11" fmla="*/ 291454 h 1629994"/>
                <a:gd name="connsiteX12" fmla="*/ 465440 w 1605897"/>
                <a:gd name="connsiteY12" fmla="*/ 328129 h 1629994"/>
                <a:gd name="connsiteX13" fmla="*/ 669867 w 1605897"/>
                <a:gd name="connsiteY13" fmla="*/ 647497 h 1629994"/>
                <a:gd name="connsiteX14" fmla="*/ 531420 w 1605897"/>
                <a:gd name="connsiteY14" fmla="*/ 735736 h 1629994"/>
                <a:gd name="connsiteX15" fmla="*/ 327165 w 1605897"/>
                <a:gd name="connsiteY15" fmla="*/ 416638 h 1629994"/>
                <a:gd name="connsiteX16" fmla="*/ 352048 w 1605897"/>
                <a:gd name="connsiteY16" fmla="*/ 303246 h 1629994"/>
                <a:gd name="connsiteX17" fmla="*/ 382436 w 1605897"/>
                <a:gd name="connsiteY17" fmla="*/ 291454 h 1629994"/>
                <a:gd name="connsiteX18" fmla="*/ 1143813 w 1605897"/>
                <a:gd name="connsiteY18" fmla="*/ 0 h 1629994"/>
                <a:gd name="connsiteX19" fmla="*/ 1253644 w 1605897"/>
                <a:gd name="connsiteY19" fmla="*/ 25823 h 1629994"/>
                <a:gd name="connsiteX20" fmla="*/ 1231644 w 1605897"/>
                <a:gd name="connsiteY20" fmla="*/ 423822 h 1629994"/>
                <a:gd name="connsiteX21" fmla="*/ 1444693 w 1605897"/>
                <a:gd name="connsiteY21" fmla="*/ 1543372 h 1629994"/>
                <a:gd name="connsiteX22" fmla="*/ 825940 w 1605897"/>
                <a:gd name="connsiteY22" fmla="*/ 1451538 h 1629994"/>
                <a:gd name="connsiteX23" fmla="*/ 760077 w 1605897"/>
                <a:gd name="connsiteY23" fmla="*/ 1371975 h 1629994"/>
                <a:gd name="connsiteX24" fmla="*/ 710838 w 1605897"/>
                <a:gd name="connsiteY24" fmla="*/ 1403493 h 1629994"/>
                <a:gd name="connsiteX25" fmla="*/ 666433 w 1605897"/>
                <a:gd name="connsiteY25" fmla="*/ 1334120 h 1629994"/>
                <a:gd name="connsiteX26" fmla="*/ 627005 w 1605897"/>
                <a:gd name="connsiteY26" fmla="*/ 1344137 h 1629994"/>
                <a:gd name="connsiteX27" fmla="*/ 242672 w 1605897"/>
                <a:gd name="connsiteY27" fmla="*/ 1160055 h 1629994"/>
                <a:gd name="connsiteX28" fmla="*/ 227449 w 1605897"/>
                <a:gd name="connsiteY28" fmla="*/ 1130486 h 1629994"/>
                <a:gd name="connsiteX29" fmla="*/ 841247 w 1605897"/>
                <a:gd name="connsiteY29" fmla="*/ 737593 h 1629994"/>
                <a:gd name="connsiteX30" fmla="*/ 861725 w 1605897"/>
                <a:gd name="connsiteY30" fmla="*/ 763799 h 1629994"/>
                <a:gd name="connsiteX31" fmla="*/ 867968 w 1605897"/>
                <a:gd name="connsiteY31" fmla="*/ 1189896 h 1629994"/>
                <a:gd name="connsiteX32" fmla="*/ 842363 w 1605897"/>
                <a:gd name="connsiteY32" fmla="*/ 1221507 h 1629994"/>
                <a:gd name="connsiteX33" fmla="*/ 886769 w 1605897"/>
                <a:gd name="connsiteY33" fmla="*/ 1290879 h 1629994"/>
                <a:gd name="connsiteX34" fmla="*/ 849265 w 1605897"/>
                <a:gd name="connsiteY34" fmla="*/ 1314885 h 1629994"/>
                <a:gd name="connsiteX35" fmla="*/ 890016 w 1605897"/>
                <a:gd name="connsiteY35" fmla="*/ 1366976 h 1629994"/>
                <a:gd name="connsiteX36" fmla="*/ 1394625 w 1605897"/>
                <a:gd name="connsiteY36" fmla="*/ 1465155 h 1629994"/>
                <a:gd name="connsiteX37" fmla="*/ 1116646 w 1605897"/>
                <a:gd name="connsiteY37" fmla="*/ 430175 h 1629994"/>
                <a:gd name="connsiteX38" fmla="*/ 1143813 w 1605897"/>
                <a:gd name="connsiteY38" fmla="*/ 0 h 1629994"/>
                <a:gd name="connsiteX0" fmla="*/ 773043 w 1605897"/>
                <a:gd name="connsiteY0" fmla="*/ 627341 h 1618687"/>
                <a:gd name="connsiteX1" fmla="*/ 823966 w 1605897"/>
                <a:gd name="connsiteY1" fmla="*/ 706895 h 1618687"/>
                <a:gd name="connsiteX2" fmla="*/ 204913 w 1605897"/>
                <a:gd name="connsiteY2" fmla="*/ 1103151 h 1618687"/>
                <a:gd name="connsiteX3" fmla="*/ 153990 w 1605897"/>
                <a:gd name="connsiteY3" fmla="*/ 1023597 h 1618687"/>
                <a:gd name="connsiteX4" fmla="*/ 773043 w 1605897"/>
                <a:gd name="connsiteY4" fmla="*/ 627341 h 1618687"/>
                <a:gd name="connsiteX5" fmla="*/ 68231 w 1605897"/>
                <a:gd name="connsiteY5" fmla="*/ 492577 h 1618687"/>
                <a:gd name="connsiteX6" fmla="*/ 151235 w 1605897"/>
                <a:gd name="connsiteY6" fmla="*/ 529252 h 1618687"/>
                <a:gd name="connsiteX7" fmla="*/ 355662 w 1605897"/>
                <a:gd name="connsiteY7" fmla="*/ 848620 h 1618687"/>
                <a:gd name="connsiteX8" fmla="*/ 217215 w 1605897"/>
                <a:gd name="connsiteY8" fmla="*/ 936859 h 1618687"/>
                <a:gd name="connsiteX9" fmla="*/ 12960 w 1605897"/>
                <a:gd name="connsiteY9" fmla="*/ 617761 h 1618687"/>
                <a:gd name="connsiteX10" fmla="*/ 37843 w 1605897"/>
                <a:gd name="connsiteY10" fmla="*/ 504369 h 1618687"/>
                <a:gd name="connsiteX11" fmla="*/ 68231 w 1605897"/>
                <a:gd name="connsiteY11" fmla="*/ 492577 h 1618687"/>
                <a:gd name="connsiteX12" fmla="*/ 382436 w 1605897"/>
                <a:gd name="connsiteY12" fmla="*/ 291454 h 1618687"/>
                <a:gd name="connsiteX13" fmla="*/ 465440 w 1605897"/>
                <a:gd name="connsiteY13" fmla="*/ 328129 h 1618687"/>
                <a:gd name="connsiteX14" fmla="*/ 669867 w 1605897"/>
                <a:gd name="connsiteY14" fmla="*/ 647497 h 1618687"/>
                <a:gd name="connsiteX15" fmla="*/ 531420 w 1605897"/>
                <a:gd name="connsiteY15" fmla="*/ 735736 h 1618687"/>
                <a:gd name="connsiteX16" fmla="*/ 327165 w 1605897"/>
                <a:gd name="connsiteY16" fmla="*/ 416638 h 1618687"/>
                <a:gd name="connsiteX17" fmla="*/ 352048 w 1605897"/>
                <a:gd name="connsiteY17" fmla="*/ 303246 h 1618687"/>
                <a:gd name="connsiteX18" fmla="*/ 382436 w 1605897"/>
                <a:gd name="connsiteY18" fmla="*/ 291454 h 1618687"/>
                <a:gd name="connsiteX19" fmla="*/ 1143813 w 1605897"/>
                <a:gd name="connsiteY19" fmla="*/ 0 h 1618687"/>
                <a:gd name="connsiteX20" fmla="*/ 1253644 w 1605897"/>
                <a:gd name="connsiteY20" fmla="*/ 25823 h 1618687"/>
                <a:gd name="connsiteX21" fmla="*/ 1231644 w 1605897"/>
                <a:gd name="connsiteY21" fmla="*/ 423822 h 1618687"/>
                <a:gd name="connsiteX22" fmla="*/ 1444693 w 1605897"/>
                <a:gd name="connsiteY22" fmla="*/ 1543372 h 1618687"/>
                <a:gd name="connsiteX23" fmla="*/ 825940 w 1605897"/>
                <a:gd name="connsiteY23" fmla="*/ 1451538 h 1618687"/>
                <a:gd name="connsiteX24" fmla="*/ 760077 w 1605897"/>
                <a:gd name="connsiteY24" fmla="*/ 1371975 h 1618687"/>
                <a:gd name="connsiteX25" fmla="*/ 710838 w 1605897"/>
                <a:gd name="connsiteY25" fmla="*/ 1403493 h 1618687"/>
                <a:gd name="connsiteX26" fmla="*/ 666433 w 1605897"/>
                <a:gd name="connsiteY26" fmla="*/ 1334120 h 1618687"/>
                <a:gd name="connsiteX27" fmla="*/ 627005 w 1605897"/>
                <a:gd name="connsiteY27" fmla="*/ 1344137 h 1618687"/>
                <a:gd name="connsiteX28" fmla="*/ 242672 w 1605897"/>
                <a:gd name="connsiteY28" fmla="*/ 1160055 h 1618687"/>
                <a:gd name="connsiteX29" fmla="*/ 227449 w 1605897"/>
                <a:gd name="connsiteY29" fmla="*/ 1130486 h 1618687"/>
                <a:gd name="connsiteX30" fmla="*/ 841247 w 1605897"/>
                <a:gd name="connsiteY30" fmla="*/ 737593 h 1618687"/>
                <a:gd name="connsiteX31" fmla="*/ 861725 w 1605897"/>
                <a:gd name="connsiteY31" fmla="*/ 763799 h 1618687"/>
                <a:gd name="connsiteX32" fmla="*/ 867968 w 1605897"/>
                <a:gd name="connsiteY32" fmla="*/ 1189896 h 1618687"/>
                <a:gd name="connsiteX33" fmla="*/ 842363 w 1605897"/>
                <a:gd name="connsiteY33" fmla="*/ 1221507 h 1618687"/>
                <a:gd name="connsiteX34" fmla="*/ 886769 w 1605897"/>
                <a:gd name="connsiteY34" fmla="*/ 1290879 h 1618687"/>
                <a:gd name="connsiteX35" fmla="*/ 849265 w 1605897"/>
                <a:gd name="connsiteY35" fmla="*/ 1314885 h 1618687"/>
                <a:gd name="connsiteX36" fmla="*/ 890016 w 1605897"/>
                <a:gd name="connsiteY36" fmla="*/ 1366976 h 1618687"/>
                <a:gd name="connsiteX37" fmla="*/ 1394625 w 1605897"/>
                <a:gd name="connsiteY37" fmla="*/ 1465155 h 1618687"/>
                <a:gd name="connsiteX38" fmla="*/ 1116646 w 1605897"/>
                <a:gd name="connsiteY38" fmla="*/ 430175 h 1618687"/>
                <a:gd name="connsiteX39" fmla="*/ 1143813 w 1605897"/>
                <a:gd name="connsiteY39" fmla="*/ 0 h 1618687"/>
                <a:gd name="connsiteX0" fmla="*/ 773043 w 1605897"/>
                <a:gd name="connsiteY0" fmla="*/ 627341 h 1621761"/>
                <a:gd name="connsiteX1" fmla="*/ 823966 w 1605897"/>
                <a:gd name="connsiteY1" fmla="*/ 706895 h 1621761"/>
                <a:gd name="connsiteX2" fmla="*/ 204913 w 1605897"/>
                <a:gd name="connsiteY2" fmla="*/ 1103151 h 1621761"/>
                <a:gd name="connsiteX3" fmla="*/ 153990 w 1605897"/>
                <a:gd name="connsiteY3" fmla="*/ 1023597 h 1621761"/>
                <a:gd name="connsiteX4" fmla="*/ 773043 w 1605897"/>
                <a:gd name="connsiteY4" fmla="*/ 627341 h 1621761"/>
                <a:gd name="connsiteX5" fmla="*/ 68231 w 1605897"/>
                <a:gd name="connsiteY5" fmla="*/ 492577 h 1621761"/>
                <a:gd name="connsiteX6" fmla="*/ 151235 w 1605897"/>
                <a:gd name="connsiteY6" fmla="*/ 529252 h 1621761"/>
                <a:gd name="connsiteX7" fmla="*/ 355662 w 1605897"/>
                <a:gd name="connsiteY7" fmla="*/ 848620 h 1621761"/>
                <a:gd name="connsiteX8" fmla="*/ 217215 w 1605897"/>
                <a:gd name="connsiteY8" fmla="*/ 936859 h 1621761"/>
                <a:gd name="connsiteX9" fmla="*/ 12960 w 1605897"/>
                <a:gd name="connsiteY9" fmla="*/ 617761 h 1621761"/>
                <a:gd name="connsiteX10" fmla="*/ 37843 w 1605897"/>
                <a:gd name="connsiteY10" fmla="*/ 504369 h 1621761"/>
                <a:gd name="connsiteX11" fmla="*/ 68231 w 1605897"/>
                <a:gd name="connsiteY11" fmla="*/ 492577 h 1621761"/>
                <a:gd name="connsiteX12" fmla="*/ 382436 w 1605897"/>
                <a:gd name="connsiteY12" fmla="*/ 291454 h 1621761"/>
                <a:gd name="connsiteX13" fmla="*/ 465440 w 1605897"/>
                <a:gd name="connsiteY13" fmla="*/ 328129 h 1621761"/>
                <a:gd name="connsiteX14" fmla="*/ 669867 w 1605897"/>
                <a:gd name="connsiteY14" fmla="*/ 647497 h 1621761"/>
                <a:gd name="connsiteX15" fmla="*/ 531420 w 1605897"/>
                <a:gd name="connsiteY15" fmla="*/ 735736 h 1621761"/>
                <a:gd name="connsiteX16" fmla="*/ 327165 w 1605897"/>
                <a:gd name="connsiteY16" fmla="*/ 416638 h 1621761"/>
                <a:gd name="connsiteX17" fmla="*/ 352048 w 1605897"/>
                <a:gd name="connsiteY17" fmla="*/ 303246 h 1621761"/>
                <a:gd name="connsiteX18" fmla="*/ 382436 w 1605897"/>
                <a:gd name="connsiteY18" fmla="*/ 291454 h 1621761"/>
                <a:gd name="connsiteX19" fmla="*/ 1143813 w 1605897"/>
                <a:gd name="connsiteY19" fmla="*/ 0 h 1621761"/>
                <a:gd name="connsiteX20" fmla="*/ 1253644 w 1605897"/>
                <a:gd name="connsiteY20" fmla="*/ 25823 h 1621761"/>
                <a:gd name="connsiteX21" fmla="*/ 1231644 w 1605897"/>
                <a:gd name="connsiteY21" fmla="*/ 423822 h 1621761"/>
                <a:gd name="connsiteX22" fmla="*/ 1444693 w 1605897"/>
                <a:gd name="connsiteY22" fmla="*/ 1543372 h 1621761"/>
                <a:gd name="connsiteX23" fmla="*/ 825940 w 1605897"/>
                <a:gd name="connsiteY23" fmla="*/ 1451538 h 1621761"/>
                <a:gd name="connsiteX24" fmla="*/ 760077 w 1605897"/>
                <a:gd name="connsiteY24" fmla="*/ 1371975 h 1621761"/>
                <a:gd name="connsiteX25" fmla="*/ 710838 w 1605897"/>
                <a:gd name="connsiteY25" fmla="*/ 1403493 h 1621761"/>
                <a:gd name="connsiteX26" fmla="*/ 666433 w 1605897"/>
                <a:gd name="connsiteY26" fmla="*/ 1334120 h 1621761"/>
                <a:gd name="connsiteX27" fmla="*/ 627005 w 1605897"/>
                <a:gd name="connsiteY27" fmla="*/ 1344137 h 1621761"/>
                <a:gd name="connsiteX28" fmla="*/ 242672 w 1605897"/>
                <a:gd name="connsiteY28" fmla="*/ 1160055 h 1621761"/>
                <a:gd name="connsiteX29" fmla="*/ 227449 w 1605897"/>
                <a:gd name="connsiteY29" fmla="*/ 1130486 h 1621761"/>
                <a:gd name="connsiteX30" fmla="*/ 841247 w 1605897"/>
                <a:gd name="connsiteY30" fmla="*/ 737593 h 1621761"/>
                <a:gd name="connsiteX31" fmla="*/ 861725 w 1605897"/>
                <a:gd name="connsiteY31" fmla="*/ 763799 h 1621761"/>
                <a:gd name="connsiteX32" fmla="*/ 867968 w 1605897"/>
                <a:gd name="connsiteY32" fmla="*/ 1189896 h 1621761"/>
                <a:gd name="connsiteX33" fmla="*/ 842363 w 1605897"/>
                <a:gd name="connsiteY33" fmla="*/ 1221507 h 1621761"/>
                <a:gd name="connsiteX34" fmla="*/ 886769 w 1605897"/>
                <a:gd name="connsiteY34" fmla="*/ 1290879 h 1621761"/>
                <a:gd name="connsiteX35" fmla="*/ 849265 w 1605897"/>
                <a:gd name="connsiteY35" fmla="*/ 1314885 h 1621761"/>
                <a:gd name="connsiteX36" fmla="*/ 890016 w 1605897"/>
                <a:gd name="connsiteY36" fmla="*/ 1366976 h 1621761"/>
                <a:gd name="connsiteX37" fmla="*/ 1394625 w 1605897"/>
                <a:gd name="connsiteY37" fmla="*/ 1465155 h 1621761"/>
                <a:gd name="connsiteX38" fmla="*/ 1116646 w 1605897"/>
                <a:gd name="connsiteY38" fmla="*/ 430175 h 1621761"/>
                <a:gd name="connsiteX39" fmla="*/ 1143813 w 1605897"/>
                <a:gd name="connsiteY39" fmla="*/ 0 h 1621761"/>
                <a:gd name="connsiteX0" fmla="*/ 773043 w 1605897"/>
                <a:gd name="connsiteY0" fmla="*/ 627341 h 1622788"/>
                <a:gd name="connsiteX1" fmla="*/ 823966 w 1605897"/>
                <a:gd name="connsiteY1" fmla="*/ 706895 h 1622788"/>
                <a:gd name="connsiteX2" fmla="*/ 204913 w 1605897"/>
                <a:gd name="connsiteY2" fmla="*/ 1103151 h 1622788"/>
                <a:gd name="connsiteX3" fmla="*/ 153990 w 1605897"/>
                <a:gd name="connsiteY3" fmla="*/ 1023597 h 1622788"/>
                <a:gd name="connsiteX4" fmla="*/ 773043 w 1605897"/>
                <a:gd name="connsiteY4" fmla="*/ 627341 h 1622788"/>
                <a:gd name="connsiteX5" fmla="*/ 68231 w 1605897"/>
                <a:gd name="connsiteY5" fmla="*/ 492577 h 1622788"/>
                <a:gd name="connsiteX6" fmla="*/ 151235 w 1605897"/>
                <a:gd name="connsiteY6" fmla="*/ 529252 h 1622788"/>
                <a:gd name="connsiteX7" fmla="*/ 355662 w 1605897"/>
                <a:gd name="connsiteY7" fmla="*/ 848620 h 1622788"/>
                <a:gd name="connsiteX8" fmla="*/ 217215 w 1605897"/>
                <a:gd name="connsiteY8" fmla="*/ 936859 h 1622788"/>
                <a:gd name="connsiteX9" fmla="*/ 12960 w 1605897"/>
                <a:gd name="connsiteY9" fmla="*/ 617761 h 1622788"/>
                <a:gd name="connsiteX10" fmla="*/ 37843 w 1605897"/>
                <a:gd name="connsiteY10" fmla="*/ 504369 h 1622788"/>
                <a:gd name="connsiteX11" fmla="*/ 68231 w 1605897"/>
                <a:gd name="connsiteY11" fmla="*/ 492577 h 1622788"/>
                <a:gd name="connsiteX12" fmla="*/ 382436 w 1605897"/>
                <a:gd name="connsiteY12" fmla="*/ 291454 h 1622788"/>
                <a:gd name="connsiteX13" fmla="*/ 465440 w 1605897"/>
                <a:gd name="connsiteY13" fmla="*/ 328129 h 1622788"/>
                <a:gd name="connsiteX14" fmla="*/ 669867 w 1605897"/>
                <a:gd name="connsiteY14" fmla="*/ 647497 h 1622788"/>
                <a:gd name="connsiteX15" fmla="*/ 531420 w 1605897"/>
                <a:gd name="connsiteY15" fmla="*/ 735736 h 1622788"/>
                <a:gd name="connsiteX16" fmla="*/ 327165 w 1605897"/>
                <a:gd name="connsiteY16" fmla="*/ 416638 h 1622788"/>
                <a:gd name="connsiteX17" fmla="*/ 352048 w 1605897"/>
                <a:gd name="connsiteY17" fmla="*/ 303246 h 1622788"/>
                <a:gd name="connsiteX18" fmla="*/ 382436 w 1605897"/>
                <a:gd name="connsiteY18" fmla="*/ 291454 h 1622788"/>
                <a:gd name="connsiteX19" fmla="*/ 1143813 w 1605897"/>
                <a:gd name="connsiteY19" fmla="*/ 0 h 1622788"/>
                <a:gd name="connsiteX20" fmla="*/ 1253644 w 1605897"/>
                <a:gd name="connsiteY20" fmla="*/ 25823 h 1622788"/>
                <a:gd name="connsiteX21" fmla="*/ 1231644 w 1605897"/>
                <a:gd name="connsiteY21" fmla="*/ 423822 h 1622788"/>
                <a:gd name="connsiteX22" fmla="*/ 1444693 w 1605897"/>
                <a:gd name="connsiteY22" fmla="*/ 1543372 h 1622788"/>
                <a:gd name="connsiteX23" fmla="*/ 825940 w 1605897"/>
                <a:gd name="connsiteY23" fmla="*/ 1451538 h 1622788"/>
                <a:gd name="connsiteX24" fmla="*/ 760077 w 1605897"/>
                <a:gd name="connsiteY24" fmla="*/ 1371975 h 1622788"/>
                <a:gd name="connsiteX25" fmla="*/ 710838 w 1605897"/>
                <a:gd name="connsiteY25" fmla="*/ 1403493 h 1622788"/>
                <a:gd name="connsiteX26" fmla="*/ 666433 w 1605897"/>
                <a:gd name="connsiteY26" fmla="*/ 1334120 h 1622788"/>
                <a:gd name="connsiteX27" fmla="*/ 627005 w 1605897"/>
                <a:gd name="connsiteY27" fmla="*/ 1344137 h 1622788"/>
                <a:gd name="connsiteX28" fmla="*/ 242672 w 1605897"/>
                <a:gd name="connsiteY28" fmla="*/ 1160055 h 1622788"/>
                <a:gd name="connsiteX29" fmla="*/ 227449 w 1605897"/>
                <a:gd name="connsiteY29" fmla="*/ 1130486 h 1622788"/>
                <a:gd name="connsiteX30" fmla="*/ 841247 w 1605897"/>
                <a:gd name="connsiteY30" fmla="*/ 737593 h 1622788"/>
                <a:gd name="connsiteX31" fmla="*/ 861725 w 1605897"/>
                <a:gd name="connsiteY31" fmla="*/ 763799 h 1622788"/>
                <a:gd name="connsiteX32" fmla="*/ 867968 w 1605897"/>
                <a:gd name="connsiteY32" fmla="*/ 1189896 h 1622788"/>
                <a:gd name="connsiteX33" fmla="*/ 842363 w 1605897"/>
                <a:gd name="connsiteY33" fmla="*/ 1221507 h 1622788"/>
                <a:gd name="connsiteX34" fmla="*/ 886769 w 1605897"/>
                <a:gd name="connsiteY34" fmla="*/ 1290879 h 1622788"/>
                <a:gd name="connsiteX35" fmla="*/ 849265 w 1605897"/>
                <a:gd name="connsiteY35" fmla="*/ 1314885 h 1622788"/>
                <a:gd name="connsiteX36" fmla="*/ 890016 w 1605897"/>
                <a:gd name="connsiteY36" fmla="*/ 1366976 h 1622788"/>
                <a:gd name="connsiteX37" fmla="*/ 1394625 w 1605897"/>
                <a:gd name="connsiteY37" fmla="*/ 1465155 h 1622788"/>
                <a:gd name="connsiteX38" fmla="*/ 1116646 w 1605897"/>
                <a:gd name="connsiteY38" fmla="*/ 430175 h 1622788"/>
                <a:gd name="connsiteX39" fmla="*/ 1143813 w 1605897"/>
                <a:gd name="connsiteY39" fmla="*/ 0 h 1622788"/>
                <a:gd name="connsiteX0" fmla="*/ 773043 w 1605897"/>
                <a:gd name="connsiteY0" fmla="*/ 627341 h 1618086"/>
                <a:gd name="connsiteX1" fmla="*/ 823966 w 1605897"/>
                <a:gd name="connsiteY1" fmla="*/ 706895 h 1618086"/>
                <a:gd name="connsiteX2" fmla="*/ 204913 w 1605897"/>
                <a:gd name="connsiteY2" fmla="*/ 1103151 h 1618086"/>
                <a:gd name="connsiteX3" fmla="*/ 153990 w 1605897"/>
                <a:gd name="connsiteY3" fmla="*/ 1023597 h 1618086"/>
                <a:gd name="connsiteX4" fmla="*/ 773043 w 1605897"/>
                <a:gd name="connsiteY4" fmla="*/ 627341 h 1618086"/>
                <a:gd name="connsiteX5" fmla="*/ 68231 w 1605897"/>
                <a:gd name="connsiteY5" fmla="*/ 492577 h 1618086"/>
                <a:gd name="connsiteX6" fmla="*/ 151235 w 1605897"/>
                <a:gd name="connsiteY6" fmla="*/ 529252 h 1618086"/>
                <a:gd name="connsiteX7" fmla="*/ 355662 w 1605897"/>
                <a:gd name="connsiteY7" fmla="*/ 848620 h 1618086"/>
                <a:gd name="connsiteX8" fmla="*/ 217215 w 1605897"/>
                <a:gd name="connsiteY8" fmla="*/ 936859 h 1618086"/>
                <a:gd name="connsiteX9" fmla="*/ 12960 w 1605897"/>
                <a:gd name="connsiteY9" fmla="*/ 617761 h 1618086"/>
                <a:gd name="connsiteX10" fmla="*/ 37843 w 1605897"/>
                <a:gd name="connsiteY10" fmla="*/ 504369 h 1618086"/>
                <a:gd name="connsiteX11" fmla="*/ 68231 w 1605897"/>
                <a:gd name="connsiteY11" fmla="*/ 492577 h 1618086"/>
                <a:gd name="connsiteX12" fmla="*/ 382436 w 1605897"/>
                <a:gd name="connsiteY12" fmla="*/ 291454 h 1618086"/>
                <a:gd name="connsiteX13" fmla="*/ 465440 w 1605897"/>
                <a:gd name="connsiteY13" fmla="*/ 328129 h 1618086"/>
                <a:gd name="connsiteX14" fmla="*/ 669867 w 1605897"/>
                <a:gd name="connsiteY14" fmla="*/ 647497 h 1618086"/>
                <a:gd name="connsiteX15" fmla="*/ 531420 w 1605897"/>
                <a:gd name="connsiteY15" fmla="*/ 735736 h 1618086"/>
                <a:gd name="connsiteX16" fmla="*/ 327165 w 1605897"/>
                <a:gd name="connsiteY16" fmla="*/ 416638 h 1618086"/>
                <a:gd name="connsiteX17" fmla="*/ 352048 w 1605897"/>
                <a:gd name="connsiteY17" fmla="*/ 303246 h 1618086"/>
                <a:gd name="connsiteX18" fmla="*/ 382436 w 1605897"/>
                <a:gd name="connsiteY18" fmla="*/ 291454 h 1618086"/>
                <a:gd name="connsiteX19" fmla="*/ 1143813 w 1605897"/>
                <a:gd name="connsiteY19" fmla="*/ 0 h 1618086"/>
                <a:gd name="connsiteX20" fmla="*/ 1253644 w 1605897"/>
                <a:gd name="connsiteY20" fmla="*/ 25823 h 1618086"/>
                <a:gd name="connsiteX21" fmla="*/ 1231644 w 1605897"/>
                <a:gd name="connsiteY21" fmla="*/ 423822 h 1618086"/>
                <a:gd name="connsiteX22" fmla="*/ 1444693 w 1605897"/>
                <a:gd name="connsiteY22" fmla="*/ 1543372 h 1618086"/>
                <a:gd name="connsiteX23" fmla="*/ 825940 w 1605897"/>
                <a:gd name="connsiteY23" fmla="*/ 1451538 h 1618086"/>
                <a:gd name="connsiteX24" fmla="*/ 760077 w 1605897"/>
                <a:gd name="connsiteY24" fmla="*/ 1371975 h 1618086"/>
                <a:gd name="connsiteX25" fmla="*/ 710838 w 1605897"/>
                <a:gd name="connsiteY25" fmla="*/ 1403493 h 1618086"/>
                <a:gd name="connsiteX26" fmla="*/ 666433 w 1605897"/>
                <a:gd name="connsiteY26" fmla="*/ 1334120 h 1618086"/>
                <a:gd name="connsiteX27" fmla="*/ 627005 w 1605897"/>
                <a:gd name="connsiteY27" fmla="*/ 1344137 h 1618086"/>
                <a:gd name="connsiteX28" fmla="*/ 242672 w 1605897"/>
                <a:gd name="connsiteY28" fmla="*/ 1160055 h 1618086"/>
                <a:gd name="connsiteX29" fmla="*/ 227449 w 1605897"/>
                <a:gd name="connsiteY29" fmla="*/ 1130486 h 1618086"/>
                <a:gd name="connsiteX30" fmla="*/ 841247 w 1605897"/>
                <a:gd name="connsiteY30" fmla="*/ 737593 h 1618086"/>
                <a:gd name="connsiteX31" fmla="*/ 861725 w 1605897"/>
                <a:gd name="connsiteY31" fmla="*/ 763799 h 1618086"/>
                <a:gd name="connsiteX32" fmla="*/ 867968 w 1605897"/>
                <a:gd name="connsiteY32" fmla="*/ 1189896 h 1618086"/>
                <a:gd name="connsiteX33" fmla="*/ 842363 w 1605897"/>
                <a:gd name="connsiteY33" fmla="*/ 1221507 h 1618086"/>
                <a:gd name="connsiteX34" fmla="*/ 886769 w 1605897"/>
                <a:gd name="connsiteY34" fmla="*/ 1290879 h 1618086"/>
                <a:gd name="connsiteX35" fmla="*/ 849265 w 1605897"/>
                <a:gd name="connsiteY35" fmla="*/ 1314885 h 1618086"/>
                <a:gd name="connsiteX36" fmla="*/ 890016 w 1605897"/>
                <a:gd name="connsiteY36" fmla="*/ 1366976 h 1618086"/>
                <a:gd name="connsiteX37" fmla="*/ 1394625 w 1605897"/>
                <a:gd name="connsiteY37" fmla="*/ 1465155 h 1618086"/>
                <a:gd name="connsiteX38" fmla="*/ 1116646 w 1605897"/>
                <a:gd name="connsiteY38" fmla="*/ 430175 h 1618086"/>
                <a:gd name="connsiteX39" fmla="*/ 1143813 w 1605897"/>
                <a:gd name="connsiteY39" fmla="*/ 0 h 1618086"/>
                <a:gd name="connsiteX0" fmla="*/ 773043 w 1605897"/>
                <a:gd name="connsiteY0" fmla="*/ 627341 h 1620740"/>
                <a:gd name="connsiteX1" fmla="*/ 823966 w 1605897"/>
                <a:gd name="connsiteY1" fmla="*/ 706895 h 1620740"/>
                <a:gd name="connsiteX2" fmla="*/ 204913 w 1605897"/>
                <a:gd name="connsiteY2" fmla="*/ 1103151 h 1620740"/>
                <a:gd name="connsiteX3" fmla="*/ 153990 w 1605897"/>
                <a:gd name="connsiteY3" fmla="*/ 1023597 h 1620740"/>
                <a:gd name="connsiteX4" fmla="*/ 773043 w 1605897"/>
                <a:gd name="connsiteY4" fmla="*/ 627341 h 1620740"/>
                <a:gd name="connsiteX5" fmla="*/ 68231 w 1605897"/>
                <a:gd name="connsiteY5" fmla="*/ 492577 h 1620740"/>
                <a:gd name="connsiteX6" fmla="*/ 151235 w 1605897"/>
                <a:gd name="connsiteY6" fmla="*/ 529252 h 1620740"/>
                <a:gd name="connsiteX7" fmla="*/ 355662 w 1605897"/>
                <a:gd name="connsiteY7" fmla="*/ 848620 h 1620740"/>
                <a:gd name="connsiteX8" fmla="*/ 217215 w 1605897"/>
                <a:gd name="connsiteY8" fmla="*/ 936859 h 1620740"/>
                <a:gd name="connsiteX9" fmla="*/ 12960 w 1605897"/>
                <a:gd name="connsiteY9" fmla="*/ 617761 h 1620740"/>
                <a:gd name="connsiteX10" fmla="*/ 37843 w 1605897"/>
                <a:gd name="connsiteY10" fmla="*/ 504369 h 1620740"/>
                <a:gd name="connsiteX11" fmla="*/ 68231 w 1605897"/>
                <a:gd name="connsiteY11" fmla="*/ 492577 h 1620740"/>
                <a:gd name="connsiteX12" fmla="*/ 382436 w 1605897"/>
                <a:gd name="connsiteY12" fmla="*/ 291454 h 1620740"/>
                <a:gd name="connsiteX13" fmla="*/ 465440 w 1605897"/>
                <a:gd name="connsiteY13" fmla="*/ 328129 h 1620740"/>
                <a:gd name="connsiteX14" fmla="*/ 669867 w 1605897"/>
                <a:gd name="connsiteY14" fmla="*/ 647497 h 1620740"/>
                <a:gd name="connsiteX15" fmla="*/ 531420 w 1605897"/>
                <a:gd name="connsiteY15" fmla="*/ 735736 h 1620740"/>
                <a:gd name="connsiteX16" fmla="*/ 327165 w 1605897"/>
                <a:gd name="connsiteY16" fmla="*/ 416638 h 1620740"/>
                <a:gd name="connsiteX17" fmla="*/ 352048 w 1605897"/>
                <a:gd name="connsiteY17" fmla="*/ 303246 h 1620740"/>
                <a:gd name="connsiteX18" fmla="*/ 382436 w 1605897"/>
                <a:gd name="connsiteY18" fmla="*/ 291454 h 1620740"/>
                <a:gd name="connsiteX19" fmla="*/ 1143813 w 1605897"/>
                <a:gd name="connsiteY19" fmla="*/ 0 h 1620740"/>
                <a:gd name="connsiteX20" fmla="*/ 1253644 w 1605897"/>
                <a:gd name="connsiteY20" fmla="*/ 25823 h 1620740"/>
                <a:gd name="connsiteX21" fmla="*/ 1231644 w 1605897"/>
                <a:gd name="connsiteY21" fmla="*/ 423822 h 1620740"/>
                <a:gd name="connsiteX22" fmla="*/ 1444693 w 1605897"/>
                <a:gd name="connsiteY22" fmla="*/ 1543372 h 1620740"/>
                <a:gd name="connsiteX23" fmla="*/ 825940 w 1605897"/>
                <a:gd name="connsiteY23" fmla="*/ 1451538 h 1620740"/>
                <a:gd name="connsiteX24" fmla="*/ 760077 w 1605897"/>
                <a:gd name="connsiteY24" fmla="*/ 1371975 h 1620740"/>
                <a:gd name="connsiteX25" fmla="*/ 710838 w 1605897"/>
                <a:gd name="connsiteY25" fmla="*/ 1403493 h 1620740"/>
                <a:gd name="connsiteX26" fmla="*/ 666433 w 1605897"/>
                <a:gd name="connsiteY26" fmla="*/ 1334120 h 1620740"/>
                <a:gd name="connsiteX27" fmla="*/ 627005 w 1605897"/>
                <a:gd name="connsiteY27" fmla="*/ 1344137 h 1620740"/>
                <a:gd name="connsiteX28" fmla="*/ 242672 w 1605897"/>
                <a:gd name="connsiteY28" fmla="*/ 1160055 h 1620740"/>
                <a:gd name="connsiteX29" fmla="*/ 227449 w 1605897"/>
                <a:gd name="connsiteY29" fmla="*/ 1130486 h 1620740"/>
                <a:gd name="connsiteX30" fmla="*/ 841247 w 1605897"/>
                <a:gd name="connsiteY30" fmla="*/ 737593 h 1620740"/>
                <a:gd name="connsiteX31" fmla="*/ 861725 w 1605897"/>
                <a:gd name="connsiteY31" fmla="*/ 763799 h 1620740"/>
                <a:gd name="connsiteX32" fmla="*/ 867968 w 1605897"/>
                <a:gd name="connsiteY32" fmla="*/ 1189896 h 1620740"/>
                <a:gd name="connsiteX33" fmla="*/ 842363 w 1605897"/>
                <a:gd name="connsiteY33" fmla="*/ 1221507 h 1620740"/>
                <a:gd name="connsiteX34" fmla="*/ 886769 w 1605897"/>
                <a:gd name="connsiteY34" fmla="*/ 1290879 h 1620740"/>
                <a:gd name="connsiteX35" fmla="*/ 849265 w 1605897"/>
                <a:gd name="connsiteY35" fmla="*/ 1314885 h 1620740"/>
                <a:gd name="connsiteX36" fmla="*/ 890016 w 1605897"/>
                <a:gd name="connsiteY36" fmla="*/ 1366976 h 1620740"/>
                <a:gd name="connsiteX37" fmla="*/ 1394625 w 1605897"/>
                <a:gd name="connsiteY37" fmla="*/ 1465155 h 1620740"/>
                <a:gd name="connsiteX38" fmla="*/ 1116646 w 1605897"/>
                <a:gd name="connsiteY38" fmla="*/ 430175 h 1620740"/>
                <a:gd name="connsiteX39" fmla="*/ 1143813 w 1605897"/>
                <a:gd name="connsiteY39" fmla="*/ 0 h 1620740"/>
                <a:gd name="connsiteX0" fmla="*/ 773043 w 1605897"/>
                <a:gd name="connsiteY0" fmla="*/ 627341 h 1620740"/>
                <a:gd name="connsiteX1" fmla="*/ 823966 w 1605897"/>
                <a:gd name="connsiteY1" fmla="*/ 706895 h 1620740"/>
                <a:gd name="connsiteX2" fmla="*/ 204913 w 1605897"/>
                <a:gd name="connsiteY2" fmla="*/ 1103151 h 1620740"/>
                <a:gd name="connsiteX3" fmla="*/ 153990 w 1605897"/>
                <a:gd name="connsiteY3" fmla="*/ 1023597 h 1620740"/>
                <a:gd name="connsiteX4" fmla="*/ 773043 w 1605897"/>
                <a:gd name="connsiteY4" fmla="*/ 627341 h 1620740"/>
                <a:gd name="connsiteX5" fmla="*/ 68231 w 1605897"/>
                <a:gd name="connsiteY5" fmla="*/ 492577 h 1620740"/>
                <a:gd name="connsiteX6" fmla="*/ 151235 w 1605897"/>
                <a:gd name="connsiteY6" fmla="*/ 529252 h 1620740"/>
                <a:gd name="connsiteX7" fmla="*/ 355662 w 1605897"/>
                <a:gd name="connsiteY7" fmla="*/ 848620 h 1620740"/>
                <a:gd name="connsiteX8" fmla="*/ 217215 w 1605897"/>
                <a:gd name="connsiteY8" fmla="*/ 936859 h 1620740"/>
                <a:gd name="connsiteX9" fmla="*/ 12960 w 1605897"/>
                <a:gd name="connsiteY9" fmla="*/ 617761 h 1620740"/>
                <a:gd name="connsiteX10" fmla="*/ 37843 w 1605897"/>
                <a:gd name="connsiteY10" fmla="*/ 504369 h 1620740"/>
                <a:gd name="connsiteX11" fmla="*/ 68231 w 1605897"/>
                <a:gd name="connsiteY11" fmla="*/ 492577 h 1620740"/>
                <a:gd name="connsiteX12" fmla="*/ 382436 w 1605897"/>
                <a:gd name="connsiteY12" fmla="*/ 291454 h 1620740"/>
                <a:gd name="connsiteX13" fmla="*/ 465440 w 1605897"/>
                <a:gd name="connsiteY13" fmla="*/ 328129 h 1620740"/>
                <a:gd name="connsiteX14" fmla="*/ 669867 w 1605897"/>
                <a:gd name="connsiteY14" fmla="*/ 647497 h 1620740"/>
                <a:gd name="connsiteX15" fmla="*/ 531420 w 1605897"/>
                <a:gd name="connsiteY15" fmla="*/ 735736 h 1620740"/>
                <a:gd name="connsiteX16" fmla="*/ 327165 w 1605897"/>
                <a:gd name="connsiteY16" fmla="*/ 416638 h 1620740"/>
                <a:gd name="connsiteX17" fmla="*/ 352048 w 1605897"/>
                <a:gd name="connsiteY17" fmla="*/ 303246 h 1620740"/>
                <a:gd name="connsiteX18" fmla="*/ 382436 w 1605897"/>
                <a:gd name="connsiteY18" fmla="*/ 291454 h 1620740"/>
                <a:gd name="connsiteX19" fmla="*/ 1143813 w 1605897"/>
                <a:gd name="connsiteY19" fmla="*/ 0 h 1620740"/>
                <a:gd name="connsiteX20" fmla="*/ 1253644 w 1605897"/>
                <a:gd name="connsiteY20" fmla="*/ 25823 h 1620740"/>
                <a:gd name="connsiteX21" fmla="*/ 1231644 w 1605897"/>
                <a:gd name="connsiteY21" fmla="*/ 423822 h 1620740"/>
                <a:gd name="connsiteX22" fmla="*/ 1444693 w 1605897"/>
                <a:gd name="connsiteY22" fmla="*/ 1543372 h 1620740"/>
                <a:gd name="connsiteX23" fmla="*/ 825940 w 1605897"/>
                <a:gd name="connsiteY23" fmla="*/ 1451538 h 1620740"/>
                <a:gd name="connsiteX24" fmla="*/ 760077 w 1605897"/>
                <a:gd name="connsiteY24" fmla="*/ 1371975 h 1620740"/>
                <a:gd name="connsiteX25" fmla="*/ 710838 w 1605897"/>
                <a:gd name="connsiteY25" fmla="*/ 1403493 h 1620740"/>
                <a:gd name="connsiteX26" fmla="*/ 666433 w 1605897"/>
                <a:gd name="connsiteY26" fmla="*/ 1334120 h 1620740"/>
                <a:gd name="connsiteX27" fmla="*/ 627005 w 1605897"/>
                <a:gd name="connsiteY27" fmla="*/ 1344137 h 1620740"/>
                <a:gd name="connsiteX28" fmla="*/ 242672 w 1605897"/>
                <a:gd name="connsiteY28" fmla="*/ 1160055 h 1620740"/>
                <a:gd name="connsiteX29" fmla="*/ 227449 w 1605897"/>
                <a:gd name="connsiteY29" fmla="*/ 1130486 h 1620740"/>
                <a:gd name="connsiteX30" fmla="*/ 841247 w 1605897"/>
                <a:gd name="connsiteY30" fmla="*/ 737593 h 1620740"/>
                <a:gd name="connsiteX31" fmla="*/ 861725 w 1605897"/>
                <a:gd name="connsiteY31" fmla="*/ 763799 h 1620740"/>
                <a:gd name="connsiteX32" fmla="*/ 867968 w 1605897"/>
                <a:gd name="connsiteY32" fmla="*/ 1189896 h 1620740"/>
                <a:gd name="connsiteX33" fmla="*/ 842363 w 1605897"/>
                <a:gd name="connsiteY33" fmla="*/ 1221507 h 1620740"/>
                <a:gd name="connsiteX34" fmla="*/ 886769 w 1605897"/>
                <a:gd name="connsiteY34" fmla="*/ 1290879 h 1620740"/>
                <a:gd name="connsiteX35" fmla="*/ 849265 w 1605897"/>
                <a:gd name="connsiteY35" fmla="*/ 1314885 h 1620740"/>
                <a:gd name="connsiteX36" fmla="*/ 890016 w 1605897"/>
                <a:gd name="connsiteY36" fmla="*/ 1374120 h 1620740"/>
                <a:gd name="connsiteX37" fmla="*/ 1394625 w 1605897"/>
                <a:gd name="connsiteY37" fmla="*/ 1465155 h 1620740"/>
                <a:gd name="connsiteX38" fmla="*/ 1116646 w 1605897"/>
                <a:gd name="connsiteY38" fmla="*/ 430175 h 1620740"/>
                <a:gd name="connsiteX39" fmla="*/ 1143813 w 1605897"/>
                <a:gd name="connsiteY39" fmla="*/ 0 h 1620740"/>
                <a:gd name="connsiteX0" fmla="*/ 773043 w 1605897"/>
                <a:gd name="connsiteY0" fmla="*/ 627341 h 1620740"/>
                <a:gd name="connsiteX1" fmla="*/ 823966 w 1605897"/>
                <a:gd name="connsiteY1" fmla="*/ 706895 h 1620740"/>
                <a:gd name="connsiteX2" fmla="*/ 204913 w 1605897"/>
                <a:gd name="connsiteY2" fmla="*/ 1103151 h 1620740"/>
                <a:gd name="connsiteX3" fmla="*/ 153990 w 1605897"/>
                <a:gd name="connsiteY3" fmla="*/ 1023597 h 1620740"/>
                <a:gd name="connsiteX4" fmla="*/ 773043 w 1605897"/>
                <a:gd name="connsiteY4" fmla="*/ 627341 h 1620740"/>
                <a:gd name="connsiteX5" fmla="*/ 68231 w 1605897"/>
                <a:gd name="connsiteY5" fmla="*/ 492577 h 1620740"/>
                <a:gd name="connsiteX6" fmla="*/ 151235 w 1605897"/>
                <a:gd name="connsiteY6" fmla="*/ 529252 h 1620740"/>
                <a:gd name="connsiteX7" fmla="*/ 355662 w 1605897"/>
                <a:gd name="connsiteY7" fmla="*/ 848620 h 1620740"/>
                <a:gd name="connsiteX8" fmla="*/ 217215 w 1605897"/>
                <a:gd name="connsiteY8" fmla="*/ 936859 h 1620740"/>
                <a:gd name="connsiteX9" fmla="*/ 12960 w 1605897"/>
                <a:gd name="connsiteY9" fmla="*/ 617761 h 1620740"/>
                <a:gd name="connsiteX10" fmla="*/ 37843 w 1605897"/>
                <a:gd name="connsiteY10" fmla="*/ 504369 h 1620740"/>
                <a:gd name="connsiteX11" fmla="*/ 68231 w 1605897"/>
                <a:gd name="connsiteY11" fmla="*/ 492577 h 1620740"/>
                <a:gd name="connsiteX12" fmla="*/ 382436 w 1605897"/>
                <a:gd name="connsiteY12" fmla="*/ 291454 h 1620740"/>
                <a:gd name="connsiteX13" fmla="*/ 465440 w 1605897"/>
                <a:gd name="connsiteY13" fmla="*/ 328129 h 1620740"/>
                <a:gd name="connsiteX14" fmla="*/ 669867 w 1605897"/>
                <a:gd name="connsiteY14" fmla="*/ 647497 h 1620740"/>
                <a:gd name="connsiteX15" fmla="*/ 531420 w 1605897"/>
                <a:gd name="connsiteY15" fmla="*/ 735736 h 1620740"/>
                <a:gd name="connsiteX16" fmla="*/ 327165 w 1605897"/>
                <a:gd name="connsiteY16" fmla="*/ 416638 h 1620740"/>
                <a:gd name="connsiteX17" fmla="*/ 352048 w 1605897"/>
                <a:gd name="connsiteY17" fmla="*/ 303246 h 1620740"/>
                <a:gd name="connsiteX18" fmla="*/ 382436 w 1605897"/>
                <a:gd name="connsiteY18" fmla="*/ 291454 h 1620740"/>
                <a:gd name="connsiteX19" fmla="*/ 1143813 w 1605897"/>
                <a:gd name="connsiteY19" fmla="*/ 0 h 1620740"/>
                <a:gd name="connsiteX20" fmla="*/ 1253644 w 1605897"/>
                <a:gd name="connsiteY20" fmla="*/ 25823 h 1620740"/>
                <a:gd name="connsiteX21" fmla="*/ 1231644 w 1605897"/>
                <a:gd name="connsiteY21" fmla="*/ 423822 h 1620740"/>
                <a:gd name="connsiteX22" fmla="*/ 1444693 w 1605897"/>
                <a:gd name="connsiteY22" fmla="*/ 1543372 h 1620740"/>
                <a:gd name="connsiteX23" fmla="*/ 825940 w 1605897"/>
                <a:gd name="connsiteY23" fmla="*/ 1451538 h 1620740"/>
                <a:gd name="connsiteX24" fmla="*/ 760077 w 1605897"/>
                <a:gd name="connsiteY24" fmla="*/ 1371975 h 1620740"/>
                <a:gd name="connsiteX25" fmla="*/ 710838 w 1605897"/>
                <a:gd name="connsiteY25" fmla="*/ 1403493 h 1620740"/>
                <a:gd name="connsiteX26" fmla="*/ 666433 w 1605897"/>
                <a:gd name="connsiteY26" fmla="*/ 1334120 h 1620740"/>
                <a:gd name="connsiteX27" fmla="*/ 627005 w 1605897"/>
                <a:gd name="connsiteY27" fmla="*/ 1344137 h 1620740"/>
                <a:gd name="connsiteX28" fmla="*/ 242672 w 1605897"/>
                <a:gd name="connsiteY28" fmla="*/ 1160055 h 1620740"/>
                <a:gd name="connsiteX29" fmla="*/ 227449 w 1605897"/>
                <a:gd name="connsiteY29" fmla="*/ 1130486 h 1620740"/>
                <a:gd name="connsiteX30" fmla="*/ 841247 w 1605897"/>
                <a:gd name="connsiteY30" fmla="*/ 737593 h 1620740"/>
                <a:gd name="connsiteX31" fmla="*/ 861725 w 1605897"/>
                <a:gd name="connsiteY31" fmla="*/ 763799 h 1620740"/>
                <a:gd name="connsiteX32" fmla="*/ 867968 w 1605897"/>
                <a:gd name="connsiteY32" fmla="*/ 1189896 h 1620740"/>
                <a:gd name="connsiteX33" fmla="*/ 842363 w 1605897"/>
                <a:gd name="connsiteY33" fmla="*/ 1221507 h 1620740"/>
                <a:gd name="connsiteX34" fmla="*/ 886769 w 1605897"/>
                <a:gd name="connsiteY34" fmla="*/ 1290879 h 1620740"/>
                <a:gd name="connsiteX35" fmla="*/ 849265 w 1605897"/>
                <a:gd name="connsiteY35" fmla="*/ 1314885 h 1620740"/>
                <a:gd name="connsiteX36" fmla="*/ 890016 w 1605897"/>
                <a:gd name="connsiteY36" fmla="*/ 1374120 h 1620740"/>
                <a:gd name="connsiteX37" fmla="*/ 1394625 w 1605897"/>
                <a:gd name="connsiteY37" fmla="*/ 1465155 h 1620740"/>
                <a:gd name="connsiteX38" fmla="*/ 1116646 w 1605897"/>
                <a:gd name="connsiteY38" fmla="*/ 430175 h 1620740"/>
                <a:gd name="connsiteX39" fmla="*/ 1143813 w 1605897"/>
                <a:gd name="connsiteY39" fmla="*/ 0 h 1620740"/>
                <a:gd name="connsiteX0" fmla="*/ 773043 w 1605897"/>
                <a:gd name="connsiteY0" fmla="*/ 627341 h 1620740"/>
                <a:gd name="connsiteX1" fmla="*/ 823966 w 1605897"/>
                <a:gd name="connsiteY1" fmla="*/ 706895 h 1620740"/>
                <a:gd name="connsiteX2" fmla="*/ 204913 w 1605897"/>
                <a:gd name="connsiteY2" fmla="*/ 1103151 h 1620740"/>
                <a:gd name="connsiteX3" fmla="*/ 153990 w 1605897"/>
                <a:gd name="connsiteY3" fmla="*/ 1023597 h 1620740"/>
                <a:gd name="connsiteX4" fmla="*/ 773043 w 1605897"/>
                <a:gd name="connsiteY4" fmla="*/ 627341 h 1620740"/>
                <a:gd name="connsiteX5" fmla="*/ 68231 w 1605897"/>
                <a:gd name="connsiteY5" fmla="*/ 492577 h 1620740"/>
                <a:gd name="connsiteX6" fmla="*/ 151235 w 1605897"/>
                <a:gd name="connsiteY6" fmla="*/ 529252 h 1620740"/>
                <a:gd name="connsiteX7" fmla="*/ 355662 w 1605897"/>
                <a:gd name="connsiteY7" fmla="*/ 848620 h 1620740"/>
                <a:gd name="connsiteX8" fmla="*/ 217215 w 1605897"/>
                <a:gd name="connsiteY8" fmla="*/ 936859 h 1620740"/>
                <a:gd name="connsiteX9" fmla="*/ 12960 w 1605897"/>
                <a:gd name="connsiteY9" fmla="*/ 617761 h 1620740"/>
                <a:gd name="connsiteX10" fmla="*/ 37843 w 1605897"/>
                <a:gd name="connsiteY10" fmla="*/ 504369 h 1620740"/>
                <a:gd name="connsiteX11" fmla="*/ 68231 w 1605897"/>
                <a:gd name="connsiteY11" fmla="*/ 492577 h 1620740"/>
                <a:gd name="connsiteX12" fmla="*/ 382436 w 1605897"/>
                <a:gd name="connsiteY12" fmla="*/ 291454 h 1620740"/>
                <a:gd name="connsiteX13" fmla="*/ 465440 w 1605897"/>
                <a:gd name="connsiteY13" fmla="*/ 328129 h 1620740"/>
                <a:gd name="connsiteX14" fmla="*/ 669867 w 1605897"/>
                <a:gd name="connsiteY14" fmla="*/ 647497 h 1620740"/>
                <a:gd name="connsiteX15" fmla="*/ 531420 w 1605897"/>
                <a:gd name="connsiteY15" fmla="*/ 735736 h 1620740"/>
                <a:gd name="connsiteX16" fmla="*/ 327165 w 1605897"/>
                <a:gd name="connsiteY16" fmla="*/ 416638 h 1620740"/>
                <a:gd name="connsiteX17" fmla="*/ 352048 w 1605897"/>
                <a:gd name="connsiteY17" fmla="*/ 303246 h 1620740"/>
                <a:gd name="connsiteX18" fmla="*/ 382436 w 1605897"/>
                <a:gd name="connsiteY18" fmla="*/ 291454 h 1620740"/>
                <a:gd name="connsiteX19" fmla="*/ 1143813 w 1605897"/>
                <a:gd name="connsiteY19" fmla="*/ 0 h 1620740"/>
                <a:gd name="connsiteX20" fmla="*/ 1253644 w 1605897"/>
                <a:gd name="connsiteY20" fmla="*/ 25823 h 1620740"/>
                <a:gd name="connsiteX21" fmla="*/ 1231644 w 1605897"/>
                <a:gd name="connsiteY21" fmla="*/ 423822 h 1620740"/>
                <a:gd name="connsiteX22" fmla="*/ 1444693 w 1605897"/>
                <a:gd name="connsiteY22" fmla="*/ 1543372 h 1620740"/>
                <a:gd name="connsiteX23" fmla="*/ 825940 w 1605897"/>
                <a:gd name="connsiteY23" fmla="*/ 1451538 h 1620740"/>
                <a:gd name="connsiteX24" fmla="*/ 760077 w 1605897"/>
                <a:gd name="connsiteY24" fmla="*/ 1371975 h 1620740"/>
                <a:gd name="connsiteX25" fmla="*/ 710838 w 1605897"/>
                <a:gd name="connsiteY25" fmla="*/ 1403493 h 1620740"/>
                <a:gd name="connsiteX26" fmla="*/ 666433 w 1605897"/>
                <a:gd name="connsiteY26" fmla="*/ 1334120 h 1620740"/>
                <a:gd name="connsiteX27" fmla="*/ 627005 w 1605897"/>
                <a:gd name="connsiteY27" fmla="*/ 1344137 h 1620740"/>
                <a:gd name="connsiteX28" fmla="*/ 242672 w 1605897"/>
                <a:gd name="connsiteY28" fmla="*/ 1160055 h 1620740"/>
                <a:gd name="connsiteX29" fmla="*/ 227449 w 1605897"/>
                <a:gd name="connsiteY29" fmla="*/ 1130486 h 1620740"/>
                <a:gd name="connsiteX30" fmla="*/ 841247 w 1605897"/>
                <a:gd name="connsiteY30" fmla="*/ 737593 h 1620740"/>
                <a:gd name="connsiteX31" fmla="*/ 861725 w 1605897"/>
                <a:gd name="connsiteY31" fmla="*/ 763799 h 1620740"/>
                <a:gd name="connsiteX32" fmla="*/ 867968 w 1605897"/>
                <a:gd name="connsiteY32" fmla="*/ 1189896 h 1620740"/>
                <a:gd name="connsiteX33" fmla="*/ 842363 w 1605897"/>
                <a:gd name="connsiteY33" fmla="*/ 1221507 h 1620740"/>
                <a:gd name="connsiteX34" fmla="*/ 886769 w 1605897"/>
                <a:gd name="connsiteY34" fmla="*/ 1290879 h 1620740"/>
                <a:gd name="connsiteX35" fmla="*/ 849265 w 1605897"/>
                <a:gd name="connsiteY35" fmla="*/ 1314885 h 1620740"/>
                <a:gd name="connsiteX36" fmla="*/ 890016 w 1605897"/>
                <a:gd name="connsiteY36" fmla="*/ 1374120 h 1620740"/>
                <a:gd name="connsiteX37" fmla="*/ 1394625 w 1605897"/>
                <a:gd name="connsiteY37" fmla="*/ 1465155 h 1620740"/>
                <a:gd name="connsiteX38" fmla="*/ 1116646 w 1605897"/>
                <a:gd name="connsiteY38" fmla="*/ 430175 h 1620740"/>
                <a:gd name="connsiteX39" fmla="*/ 1143813 w 1605897"/>
                <a:gd name="connsiteY39" fmla="*/ 0 h 1620740"/>
                <a:gd name="connsiteX0" fmla="*/ 773043 w 1605897"/>
                <a:gd name="connsiteY0" fmla="*/ 627341 h 1628480"/>
                <a:gd name="connsiteX1" fmla="*/ 823966 w 1605897"/>
                <a:gd name="connsiteY1" fmla="*/ 706895 h 1628480"/>
                <a:gd name="connsiteX2" fmla="*/ 204913 w 1605897"/>
                <a:gd name="connsiteY2" fmla="*/ 1103151 h 1628480"/>
                <a:gd name="connsiteX3" fmla="*/ 153990 w 1605897"/>
                <a:gd name="connsiteY3" fmla="*/ 1023597 h 1628480"/>
                <a:gd name="connsiteX4" fmla="*/ 773043 w 1605897"/>
                <a:gd name="connsiteY4" fmla="*/ 627341 h 1628480"/>
                <a:gd name="connsiteX5" fmla="*/ 68231 w 1605897"/>
                <a:gd name="connsiteY5" fmla="*/ 492577 h 1628480"/>
                <a:gd name="connsiteX6" fmla="*/ 151235 w 1605897"/>
                <a:gd name="connsiteY6" fmla="*/ 529252 h 1628480"/>
                <a:gd name="connsiteX7" fmla="*/ 355662 w 1605897"/>
                <a:gd name="connsiteY7" fmla="*/ 848620 h 1628480"/>
                <a:gd name="connsiteX8" fmla="*/ 217215 w 1605897"/>
                <a:gd name="connsiteY8" fmla="*/ 936859 h 1628480"/>
                <a:gd name="connsiteX9" fmla="*/ 12960 w 1605897"/>
                <a:gd name="connsiteY9" fmla="*/ 617761 h 1628480"/>
                <a:gd name="connsiteX10" fmla="*/ 37843 w 1605897"/>
                <a:gd name="connsiteY10" fmla="*/ 504369 h 1628480"/>
                <a:gd name="connsiteX11" fmla="*/ 68231 w 1605897"/>
                <a:gd name="connsiteY11" fmla="*/ 492577 h 1628480"/>
                <a:gd name="connsiteX12" fmla="*/ 382436 w 1605897"/>
                <a:gd name="connsiteY12" fmla="*/ 291454 h 1628480"/>
                <a:gd name="connsiteX13" fmla="*/ 465440 w 1605897"/>
                <a:gd name="connsiteY13" fmla="*/ 328129 h 1628480"/>
                <a:gd name="connsiteX14" fmla="*/ 669867 w 1605897"/>
                <a:gd name="connsiteY14" fmla="*/ 647497 h 1628480"/>
                <a:gd name="connsiteX15" fmla="*/ 531420 w 1605897"/>
                <a:gd name="connsiteY15" fmla="*/ 735736 h 1628480"/>
                <a:gd name="connsiteX16" fmla="*/ 327165 w 1605897"/>
                <a:gd name="connsiteY16" fmla="*/ 416638 h 1628480"/>
                <a:gd name="connsiteX17" fmla="*/ 352048 w 1605897"/>
                <a:gd name="connsiteY17" fmla="*/ 303246 h 1628480"/>
                <a:gd name="connsiteX18" fmla="*/ 382436 w 1605897"/>
                <a:gd name="connsiteY18" fmla="*/ 291454 h 1628480"/>
                <a:gd name="connsiteX19" fmla="*/ 1143813 w 1605897"/>
                <a:gd name="connsiteY19" fmla="*/ 0 h 1628480"/>
                <a:gd name="connsiteX20" fmla="*/ 1253644 w 1605897"/>
                <a:gd name="connsiteY20" fmla="*/ 25823 h 1628480"/>
                <a:gd name="connsiteX21" fmla="*/ 1231644 w 1605897"/>
                <a:gd name="connsiteY21" fmla="*/ 423822 h 1628480"/>
                <a:gd name="connsiteX22" fmla="*/ 1444693 w 1605897"/>
                <a:gd name="connsiteY22" fmla="*/ 1543372 h 1628480"/>
                <a:gd name="connsiteX23" fmla="*/ 825940 w 1605897"/>
                <a:gd name="connsiteY23" fmla="*/ 1451538 h 1628480"/>
                <a:gd name="connsiteX24" fmla="*/ 760077 w 1605897"/>
                <a:gd name="connsiteY24" fmla="*/ 1371975 h 1628480"/>
                <a:gd name="connsiteX25" fmla="*/ 710838 w 1605897"/>
                <a:gd name="connsiteY25" fmla="*/ 1403493 h 1628480"/>
                <a:gd name="connsiteX26" fmla="*/ 666433 w 1605897"/>
                <a:gd name="connsiteY26" fmla="*/ 1334120 h 1628480"/>
                <a:gd name="connsiteX27" fmla="*/ 627005 w 1605897"/>
                <a:gd name="connsiteY27" fmla="*/ 1344137 h 1628480"/>
                <a:gd name="connsiteX28" fmla="*/ 242672 w 1605897"/>
                <a:gd name="connsiteY28" fmla="*/ 1160055 h 1628480"/>
                <a:gd name="connsiteX29" fmla="*/ 227449 w 1605897"/>
                <a:gd name="connsiteY29" fmla="*/ 1130486 h 1628480"/>
                <a:gd name="connsiteX30" fmla="*/ 841247 w 1605897"/>
                <a:gd name="connsiteY30" fmla="*/ 737593 h 1628480"/>
                <a:gd name="connsiteX31" fmla="*/ 861725 w 1605897"/>
                <a:gd name="connsiteY31" fmla="*/ 763799 h 1628480"/>
                <a:gd name="connsiteX32" fmla="*/ 867968 w 1605897"/>
                <a:gd name="connsiteY32" fmla="*/ 1189896 h 1628480"/>
                <a:gd name="connsiteX33" fmla="*/ 842363 w 1605897"/>
                <a:gd name="connsiteY33" fmla="*/ 1221507 h 1628480"/>
                <a:gd name="connsiteX34" fmla="*/ 886769 w 1605897"/>
                <a:gd name="connsiteY34" fmla="*/ 1290879 h 1628480"/>
                <a:gd name="connsiteX35" fmla="*/ 849265 w 1605897"/>
                <a:gd name="connsiteY35" fmla="*/ 1314885 h 1628480"/>
                <a:gd name="connsiteX36" fmla="*/ 890016 w 1605897"/>
                <a:gd name="connsiteY36" fmla="*/ 1374120 h 1628480"/>
                <a:gd name="connsiteX37" fmla="*/ 1394625 w 1605897"/>
                <a:gd name="connsiteY37" fmla="*/ 1465155 h 1628480"/>
                <a:gd name="connsiteX38" fmla="*/ 1116646 w 1605897"/>
                <a:gd name="connsiteY38" fmla="*/ 430175 h 1628480"/>
                <a:gd name="connsiteX39" fmla="*/ 1143813 w 1605897"/>
                <a:gd name="connsiteY39" fmla="*/ 0 h 16284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605897" h="1628480">
                  <a:moveTo>
                    <a:pt x="773043" y="627341"/>
                  </a:moveTo>
                  <a:lnTo>
                    <a:pt x="823966" y="706895"/>
                  </a:lnTo>
                  <a:lnTo>
                    <a:pt x="204913" y="1103151"/>
                  </a:lnTo>
                  <a:lnTo>
                    <a:pt x="153990" y="1023597"/>
                  </a:lnTo>
                  <a:lnTo>
                    <a:pt x="773043" y="627341"/>
                  </a:lnTo>
                  <a:close/>
                  <a:moveTo>
                    <a:pt x="68231" y="492577"/>
                  </a:moveTo>
                  <a:cubicBezTo>
                    <a:pt x="99765" y="487189"/>
                    <a:pt x="132904" y="500614"/>
                    <a:pt x="151235" y="529252"/>
                  </a:cubicBezTo>
                  <a:lnTo>
                    <a:pt x="355662" y="848620"/>
                  </a:lnTo>
                  <a:lnTo>
                    <a:pt x="217215" y="936859"/>
                  </a:lnTo>
                  <a:lnTo>
                    <a:pt x="12960" y="617761"/>
                  </a:lnTo>
                  <a:cubicBezTo>
                    <a:pt x="-11481" y="579578"/>
                    <a:pt x="-341" y="528811"/>
                    <a:pt x="37843" y="504369"/>
                  </a:cubicBezTo>
                  <a:cubicBezTo>
                    <a:pt x="47388" y="498259"/>
                    <a:pt x="57721" y="494372"/>
                    <a:pt x="68231" y="492577"/>
                  </a:cubicBezTo>
                  <a:close/>
                  <a:moveTo>
                    <a:pt x="382436" y="291454"/>
                  </a:moveTo>
                  <a:cubicBezTo>
                    <a:pt x="413970" y="286066"/>
                    <a:pt x="447109" y="299491"/>
                    <a:pt x="465440" y="328129"/>
                  </a:cubicBezTo>
                  <a:lnTo>
                    <a:pt x="669867" y="647497"/>
                  </a:lnTo>
                  <a:lnTo>
                    <a:pt x="531420" y="735736"/>
                  </a:lnTo>
                  <a:lnTo>
                    <a:pt x="327165" y="416638"/>
                  </a:lnTo>
                  <a:cubicBezTo>
                    <a:pt x="302724" y="378455"/>
                    <a:pt x="313864" y="327688"/>
                    <a:pt x="352048" y="303246"/>
                  </a:cubicBezTo>
                  <a:cubicBezTo>
                    <a:pt x="361593" y="297136"/>
                    <a:pt x="371926" y="293249"/>
                    <a:pt x="382436" y="291454"/>
                  </a:cubicBezTo>
                  <a:close/>
                  <a:moveTo>
                    <a:pt x="1143813" y="0"/>
                  </a:moveTo>
                  <a:lnTo>
                    <a:pt x="1253644" y="25823"/>
                  </a:lnTo>
                  <a:cubicBezTo>
                    <a:pt x="1218267" y="69201"/>
                    <a:pt x="1076199" y="169760"/>
                    <a:pt x="1231644" y="423822"/>
                  </a:cubicBezTo>
                  <a:cubicBezTo>
                    <a:pt x="1656686" y="1014433"/>
                    <a:pt x="1708063" y="1376201"/>
                    <a:pt x="1444693" y="1543372"/>
                  </a:cubicBezTo>
                  <a:cubicBezTo>
                    <a:pt x="1241114" y="1675678"/>
                    <a:pt x="980490" y="1660113"/>
                    <a:pt x="825940" y="1451538"/>
                  </a:cubicBezTo>
                  <a:lnTo>
                    <a:pt x="760077" y="1371975"/>
                  </a:lnTo>
                  <a:lnTo>
                    <a:pt x="710838" y="1403493"/>
                  </a:lnTo>
                  <a:lnTo>
                    <a:pt x="666433" y="1334120"/>
                  </a:lnTo>
                  <a:lnTo>
                    <a:pt x="627005" y="1344137"/>
                  </a:lnTo>
                  <a:cubicBezTo>
                    <a:pt x="483736" y="1364983"/>
                    <a:pt x="330462" y="1297205"/>
                    <a:pt x="242672" y="1160055"/>
                  </a:cubicBezTo>
                  <a:lnTo>
                    <a:pt x="227449" y="1130486"/>
                  </a:lnTo>
                  <a:lnTo>
                    <a:pt x="841247" y="737593"/>
                  </a:lnTo>
                  <a:lnTo>
                    <a:pt x="861725" y="763799"/>
                  </a:lnTo>
                  <a:cubicBezTo>
                    <a:pt x="949515" y="900948"/>
                    <a:pt x="946887" y="1068519"/>
                    <a:pt x="867968" y="1189896"/>
                  </a:cubicBezTo>
                  <a:lnTo>
                    <a:pt x="842363" y="1221507"/>
                  </a:lnTo>
                  <a:lnTo>
                    <a:pt x="886769" y="1290879"/>
                  </a:lnTo>
                  <a:lnTo>
                    <a:pt x="849265" y="1314885"/>
                  </a:lnTo>
                  <a:lnTo>
                    <a:pt x="890016" y="1374120"/>
                  </a:lnTo>
                  <a:cubicBezTo>
                    <a:pt x="1017276" y="1536444"/>
                    <a:pt x="1184285" y="1602267"/>
                    <a:pt x="1394625" y="1465155"/>
                  </a:cubicBezTo>
                  <a:cubicBezTo>
                    <a:pt x="1632645" y="1299604"/>
                    <a:pt x="1458312" y="912626"/>
                    <a:pt x="1116646" y="430175"/>
                  </a:cubicBezTo>
                  <a:cubicBezTo>
                    <a:pt x="981474" y="218309"/>
                    <a:pt x="1121272" y="39874"/>
                    <a:pt x="1143813" y="0"/>
                  </a:cubicBezTo>
                  <a:close/>
                </a:path>
              </a:pathLst>
            </a:custGeom>
            <a:solidFill>
              <a:srgbClr val="FAC85F"/>
            </a:solidFill>
            <a:ln w="19050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lIns="36000" tIns="36000" rIns="36000" bIns="36000" rtlCol="0" anchor="ctr"/>
            <a:lstStyle>
              <a:defPPr>
                <a:defRPr lang="en-US"/>
              </a:defPPr>
              <a:lvl1pPr marL="0" algn="l" defTabSz="914309" rtl="0" eaLnBrk="1" latinLnBrk="0" hangingPunct="1">
                <a:defRPr lang="en-CA"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154" algn="l" defTabSz="914309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309" algn="l" defTabSz="914309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463" algn="l" defTabSz="914309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618" algn="l" defTabSz="914309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5772" algn="l" defTabSz="914309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2927" algn="l" defTabSz="914309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081" algn="l" defTabSz="914309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236" algn="l" defTabSz="914309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2000">
                <a:solidFill>
                  <a:schemeClr val="tx1"/>
                </a:solidFill>
              </a:endParaRPr>
            </a:p>
          </xdr:txBody>
        </xdr:sp>
      </xdr:grpSp>
    </xdr:grpSp>
    <xdr:clientData/>
  </xdr:twoCellAnchor>
  <xdr:twoCellAnchor>
    <xdr:from>
      <xdr:col>1</xdr:col>
      <xdr:colOff>800100</xdr:colOff>
      <xdr:row>75</xdr:row>
      <xdr:rowOff>219075</xdr:rowOff>
    </xdr:from>
    <xdr:to>
      <xdr:col>1</xdr:col>
      <xdr:colOff>2257425</xdr:colOff>
      <xdr:row>75</xdr:row>
      <xdr:rowOff>2362200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pSpPr/>
      </xdr:nvGrpSpPr>
      <xdr:grpSpPr>
        <a:xfrm>
          <a:off x="1479274" y="31057988"/>
          <a:ext cx="1457325" cy="2143125"/>
          <a:chOff x="1476375" y="31565850"/>
          <a:chExt cx="1457325" cy="2143125"/>
        </a:xfrm>
      </xdr:grpSpPr>
      <xdr:pic>
        <xdr:nvPicPr>
          <xdr:cNvPr id="15" name="Picture 12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375" y="31565850"/>
            <a:ext cx="1457325" cy="147256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5" name="Умножение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/>
        </xdr:nvSpPr>
        <xdr:spPr>
          <a:xfrm>
            <a:off x="1724025" y="33127950"/>
            <a:ext cx="390525" cy="438150"/>
          </a:xfrm>
          <a:prstGeom prst="mathMultiply">
            <a:avLst/>
          </a:prstGeom>
        </xdr:spPr>
        <xdr:style>
          <a:lnRef idx="1">
            <a:schemeClr val="dk1"/>
          </a:lnRef>
          <a:fillRef idx="3">
            <a:schemeClr val="dk1"/>
          </a:fillRef>
          <a:effectRef idx="2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SpPr txBox="1"/>
        </xdr:nvSpPr>
        <xdr:spPr>
          <a:xfrm>
            <a:off x="2105025" y="32937450"/>
            <a:ext cx="409575" cy="7715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4500" b="1">
                <a:solidFill>
                  <a:sysClr val="windowText" lastClr="000000"/>
                </a:solidFill>
                <a:latin typeface="ISOCPEUR" panose="020B0604020202020204" pitchFamily="34" charset="0"/>
                <a:cs typeface="Arial" panose="020B0604020202020204" pitchFamily="34" charset="0"/>
              </a:rPr>
              <a:t>5</a:t>
            </a:r>
          </a:p>
        </xdr:txBody>
      </xdr:sp>
    </xdr:grpSp>
    <xdr:clientData/>
  </xdr:twoCellAnchor>
  <xdr:twoCellAnchor>
    <xdr:from>
      <xdr:col>4</xdr:col>
      <xdr:colOff>161925</xdr:colOff>
      <xdr:row>75</xdr:row>
      <xdr:rowOff>228600</xdr:rowOff>
    </xdr:from>
    <xdr:to>
      <xdr:col>4</xdr:col>
      <xdr:colOff>1619250</xdr:colOff>
      <xdr:row>75</xdr:row>
      <xdr:rowOff>2371725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pSpPr/>
      </xdr:nvGrpSpPr>
      <xdr:grpSpPr>
        <a:xfrm>
          <a:off x="4662142" y="31067513"/>
          <a:ext cx="1457325" cy="2143125"/>
          <a:chOff x="1476375" y="31565850"/>
          <a:chExt cx="1457325" cy="2143125"/>
        </a:xfrm>
      </xdr:grpSpPr>
      <xdr:pic>
        <xdr:nvPicPr>
          <xdr:cNvPr id="29" name="Picture 12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375" y="31565850"/>
            <a:ext cx="1457325" cy="147256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30" name="Умножение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1724025" y="33127950"/>
            <a:ext cx="390525" cy="438150"/>
          </a:xfrm>
          <a:prstGeom prst="mathMultiply">
            <a:avLst/>
          </a:prstGeom>
        </xdr:spPr>
        <xdr:style>
          <a:lnRef idx="1">
            <a:schemeClr val="dk1"/>
          </a:lnRef>
          <a:fillRef idx="3">
            <a:schemeClr val="dk1"/>
          </a:fillRef>
          <a:effectRef idx="2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 txBox="1"/>
        </xdr:nvSpPr>
        <xdr:spPr>
          <a:xfrm>
            <a:off x="2105025" y="32937450"/>
            <a:ext cx="409575" cy="7715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4500" b="1">
                <a:solidFill>
                  <a:sysClr val="windowText" lastClr="000000"/>
                </a:solidFill>
                <a:latin typeface="ISOCPEUR" panose="020B0604020202020204" pitchFamily="34" charset="0"/>
                <a:cs typeface="Arial" panose="020B0604020202020204" pitchFamily="34" charset="0"/>
              </a:rPr>
              <a:t>5</a:t>
            </a:r>
          </a:p>
        </xdr:txBody>
      </xdr:sp>
    </xdr:grpSp>
    <xdr:clientData/>
  </xdr:twoCellAnchor>
  <xdr:twoCellAnchor>
    <xdr:from>
      <xdr:col>4</xdr:col>
      <xdr:colOff>1504949</xdr:colOff>
      <xdr:row>75</xdr:row>
      <xdr:rowOff>1000124</xdr:rowOff>
    </xdr:from>
    <xdr:to>
      <xdr:col>4</xdr:col>
      <xdr:colOff>1933574</xdr:colOff>
      <xdr:row>75</xdr:row>
      <xdr:rowOff>1428749</xdr:rowOff>
    </xdr:to>
    <xdr:sp macro="" textlink="">
      <xdr:nvSpPr>
        <xdr:cNvPr id="32" name="Плюс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5800724" y="32508824"/>
          <a:ext cx="428625" cy="428625"/>
        </a:xfrm>
        <a:prstGeom prst="mathPlus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47625</xdr:colOff>
      <xdr:row>75</xdr:row>
      <xdr:rowOff>171450</xdr:rowOff>
    </xdr:from>
    <xdr:to>
      <xdr:col>7</xdr:col>
      <xdr:colOff>1504950</xdr:colOff>
      <xdr:row>75</xdr:row>
      <xdr:rowOff>2314575</xdr:rowOff>
    </xdr:to>
    <xdr:grpSp>
      <xdr:nvGrpSpPr>
        <xdr:cNvPr id="33" name="Группа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pSpPr/>
      </xdr:nvGrpSpPr>
      <xdr:grpSpPr>
        <a:xfrm>
          <a:off x="8368886" y="31010363"/>
          <a:ext cx="1457325" cy="2143125"/>
          <a:chOff x="1476375" y="31565850"/>
          <a:chExt cx="1457325" cy="2143125"/>
        </a:xfrm>
      </xdr:grpSpPr>
      <xdr:pic>
        <xdr:nvPicPr>
          <xdr:cNvPr id="34" name="Picture 12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375" y="31565850"/>
            <a:ext cx="1457325" cy="147256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35" name="Умножение 34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/>
        </xdr:nvSpPr>
        <xdr:spPr>
          <a:xfrm>
            <a:off x="1724025" y="33127950"/>
            <a:ext cx="390525" cy="438150"/>
          </a:xfrm>
          <a:prstGeom prst="mathMultiply">
            <a:avLst/>
          </a:prstGeom>
        </xdr:spPr>
        <xdr:style>
          <a:lnRef idx="1">
            <a:schemeClr val="dk1"/>
          </a:lnRef>
          <a:fillRef idx="3">
            <a:schemeClr val="dk1"/>
          </a:fillRef>
          <a:effectRef idx="2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SpPr txBox="1"/>
        </xdr:nvSpPr>
        <xdr:spPr>
          <a:xfrm>
            <a:off x="2105025" y="32937450"/>
            <a:ext cx="409575" cy="7715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4500" b="1">
                <a:solidFill>
                  <a:sysClr val="windowText" lastClr="000000"/>
                </a:solidFill>
                <a:latin typeface="ISOCPEUR" panose="020B0604020202020204" pitchFamily="34" charset="0"/>
                <a:cs typeface="Arial" panose="020B0604020202020204" pitchFamily="34" charset="0"/>
              </a:rPr>
              <a:t>5</a:t>
            </a:r>
          </a:p>
        </xdr:txBody>
      </xdr:sp>
    </xdr:grpSp>
    <xdr:clientData/>
  </xdr:twoCellAnchor>
  <xdr:twoCellAnchor>
    <xdr:from>
      <xdr:col>7</xdr:col>
      <xdr:colOff>1362075</xdr:colOff>
      <xdr:row>75</xdr:row>
      <xdr:rowOff>971550</xdr:rowOff>
    </xdr:from>
    <xdr:to>
      <xdr:col>7</xdr:col>
      <xdr:colOff>1790700</xdr:colOff>
      <xdr:row>75</xdr:row>
      <xdr:rowOff>1400175</xdr:rowOff>
    </xdr:to>
    <xdr:sp macro="" textlink="">
      <xdr:nvSpPr>
        <xdr:cNvPr id="38" name="Плюс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9305925" y="32480250"/>
          <a:ext cx="428625" cy="428625"/>
        </a:xfrm>
        <a:prstGeom prst="mathPlus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161926</xdr:colOff>
      <xdr:row>61</xdr:row>
      <xdr:rowOff>76199</xdr:rowOff>
    </xdr:from>
    <xdr:to>
      <xdr:col>4</xdr:col>
      <xdr:colOff>2686051</xdr:colOff>
      <xdr:row>61</xdr:row>
      <xdr:rowOff>2428874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GrpSpPr/>
      </xdr:nvGrpSpPr>
      <xdr:grpSpPr>
        <a:xfrm>
          <a:off x="4662143" y="23405547"/>
          <a:ext cx="2524125" cy="2352675"/>
          <a:chOff x="4457701" y="23802974"/>
          <a:chExt cx="2524125" cy="2352675"/>
        </a:xfrm>
      </xdr:grpSpPr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457701" y="23831550"/>
            <a:ext cx="557561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Рисунок 39" descr="http://pngimg.com/uploads/toilet_paper/toilet_paper_PNG18291.png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14850" y="25212674"/>
            <a:ext cx="1076455" cy="942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Рисунок 40" descr="http://uralzakaz.ru/wa-data/public/shop/products/79/95/19579/images/18862/18862.970.jpg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391149" y="23802974"/>
            <a:ext cx="1552576" cy="879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38876" y="25365076"/>
            <a:ext cx="742950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343525" y="24765381"/>
            <a:ext cx="994581" cy="6663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190501</xdr:colOff>
      <xdr:row>61</xdr:row>
      <xdr:rowOff>114299</xdr:rowOff>
    </xdr:from>
    <xdr:to>
      <xdr:col>1</xdr:col>
      <xdr:colOff>2714626</xdr:colOff>
      <xdr:row>61</xdr:row>
      <xdr:rowOff>2466974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GrpSpPr/>
      </xdr:nvGrpSpPr>
      <xdr:grpSpPr>
        <a:xfrm>
          <a:off x="869675" y="23443647"/>
          <a:ext cx="2524125" cy="2352675"/>
          <a:chOff x="4457701" y="23802974"/>
          <a:chExt cx="2524125" cy="2352675"/>
        </a:xfrm>
      </xdr:grpSpPr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00000000-0008-0000-02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457701" y="23831550"/>
            <a:ext cx="557561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" name="Рисунок 50" descr="http://pngimg.com/uploads/toilet_paper/toilet_paper_PNG18291.png">
            <a:extLst>
              <a:ext uri="{FF2B5EF4-FFF2-40B4-BE49-F238E27FC236}">
                <a16:creationId xmlns:a16="http://schemas.microsoft.com/office/drawing/2014/main" id="{00000000-0008-0000-02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514850" y="25212674"/>
            <a:ext cx="1076455" cy="942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2" name="Рисунок 51" descr="http://uralzakaz.ru/wa-data/public/shop/products/79/95/19579/images/18862/18862.970.jpg">
            <a:extLst>
              <a:ext uri="{FF2B5EF4-FFF2-40B4-BE49-F238E27FC236}">
                <a16:creationId xmlns:a16="http://schemas.microsoft.com/office/drawing/2014/main" id="{00000000-0008-0000-02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391149" y="23802974"/>
            <a:ext cx="1552576" cy="879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3" name="Рисунок 52">
            <a:extLst>
              <a:ext uri="{FF2B5EF4-FFF2-40B4-BE49-F238E27FC236}">
                <a16:creationId xmlns:a16="http://schemas.microsoft.com/office/drawing/2014/main" id="{00000000-0008-0000-02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38876" y="25365076"/>
            <a:ext cx="742950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00000000-0008-0000-02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343525" y="24765381"/>
            <a:ext cx="994581" cy="6663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</xdr:col>
      <xdr:colOff>219075</xdr:colOff>
      <xdr:row>61</xdr:row>
      <xdr:rowOff>180976</xdr:rowOff>
    </xdr:from>
    <xdr:to>
      <xdr:col>7</xdr:col>
      <xdr:colOff>776636</xdr:colOff>
      <xdr:row>61</xdr:row>
      <xdr:rowOff>1371601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2925" y="23907751"/>
          <a:ext cx="557561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276224</xdr:colOff>
      <xdr:row>61</xdr:row>
      <xdr:rowOff>1562100</xdr:rowOff>
    </xdr:from>
    <xdr:to>
      <xdr:col>7</xdr:col>
      <xdr:colOff>1352679</xdr:colOff>
      <xdr:row>61</xdr:row>
      <xdr:rowOff>2505075</xdr:rowOff>
    </xdr:to>
    <xdr:pic>
      <xdr:nvPicPr>
        <xdr:cNvPr id="57" name="Рисунок 56" descr="http://pngimg.com/uploads/toilet_paper/toilet_paper_PNG18291.pn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0074" y="25288875"/>
          <a:ext cx="107645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2000250</xdr:colOff>
      <xdr:row>61</xdr:row>
      <xdr:rowOff>1714502</xdr:rowOff>
    </xdr:from>
    <xdr:to>
      <xdr:col>7</xdr:col>
      <xdr:colOff>2743200</xdr:colOff>
      <xdr:row>61</xdr:row>
      <xdr:rowOff>2457452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44100" y="25441277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1104899</xdr:colOff>
      <xdr:row>61</xdr:row>
      <xdr:rowOff>1114807</xdr:rowOff>
    </xdr:from>
    <xdr:to>
      <xdr:col>7</xdr:col>
      <xdr:colOff>2099480</xdr:colOff>
      <xdr:row>61</xdr:row>
      <xdr:rowOff>1781176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49" y="24841582"/>
          <a:ext cx="994581" cy="666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1819275</xdr:colOff>
      <xdr:row>61</xdr:row>
      <xdr:rowOff>180975</xdr:rowOff>
    </xdr:from>
    <xdr:to>
      <xdr:col>7</xdr:col>
      <xdr:colOff>2893171</xdr:colOff>
      <xdr:row>61</xdr:row>
      <xdr:rowOff>1276350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63125" y="23907750"/>
          <a:ext cx="1073896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200025</xdr:colOff>
      <xdr:row>51</xdr:row>
      <xdr:rowOff>133350</xdr:rowOff>
    </xdr:from>
    <xdr:to>
      <xdr:col>1</xdr:col>
      <xdr:colOff>2819399</xdr:colOff>
      <xdr:row>51</xdr:row>
      <xdr:rowOff>2428875</xdr:rowOff>
    </xdr:to>
    <xdr:grpSp>
      <xdr:nvGrpSpPr>
        <xdr:cNvPr id="43" name="Группа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pSpPr/>
      </xdr:nvGrpSpPr>
      <xdr:grpSpPr>
        <a:xfrm>
          <a:off x="879199" y="19061872"/>
          <a:ext cx="2619374" cy="2295525"/>
          <a:chOff x="847725" y="19392900"/>
          <a:chExt cx="2619374" cy="2295525"/>
        </a:xfrm>
      </xdr:grpSpPr>
      <xdr:pic>
        <xdr:nvPicPr>
          <xdr:cNvPr id="62" name="Picture 4">
            <a:extLst>
              <a:ext uri="{FF2B5EF4-FFF2-40B4-BE49-F238E27FC236}">
                <a16:creationId xmlns:a16="http://schemas.microsoft.com/office/drawing/2014/main" id="{00000000-0008-0000-0200-00003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print"/>
          <a:srcRect l="10968" r="12903"/>
          <a:stretch/>
        </xdr:blipFill>
        <xdr:spPr bwMode="auto">
          <a:xfrm>
            <a:off x="847725" y="19392900"/>
            <a:ext cx="1123950" cy="16497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3" name="Picture 23" descr="izo_kozhzam_black.jpg">
            <a:extLst>
              <a:ext uri="{FF2B5EF4-FFF2-40B4-BE49-F238E27FC236}">
                <a16:creationId xmlns:a16="http://schemas.microsoft.com/office/drawing/2014/main" id="{00000000-0008-0000-02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19300" y="20526375"/>
            <a:ext cx="1447799" cy="1154429"/>
          </a:xfrm>
          <a:prstGeom prst="rect">
            <a:avLst/>
          </a:prstGeom>
        </xdr:spPr>
      </xdr:pic>
      <xdr:pic>
        <xdr:nvPicPr>
          <xdr:cNvPr id="64" name="Picture 3">
            <a:extLst>
              <a:ext uri="{FF2B5EF4-FFF2-40B4-BE49-F238E27FC236}">
                <a16:creationId xmlns:a16="http://schemas.microsoft.com/office/drawing/2014/main" id="{00000000-0008-0000-02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screen">
            <a:grayscl/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09775" y="19554825"/>
            <a:ext cx="1365045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id="{00000000-0008-0000-0200-00004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71600" y="20945475"/>
            <a:ext cx="742950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200025</xdr:colOff>
      <xdr:row>51</xdr:row>
      <xdr:rowOff>133350</xdr:rowOff>
    </xdr:from>
    <xdr:to>
      <xdr:col>4</xdr:col>
      <xdr:colOff>2819399</xdr:colOff>
      <xdr:row>51</xdr:row>
      <xdr:rowOff>2428875</xdr:rowOff>
    </xdr:to>
    <xdr:grpSp>
      <xdr:nvGrpSpPr>
        <xdr:cNvPr id="68" name="Группа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GrpSpPr/>
      </xdr:nvGrpSpPr>
      <xdr:grpSpPr>
        <a:xfrm>
          <a:off x="4700242" y="19061872"/>
          <a:ext cx="2619374" cy="2295525"/>
          <a:chOff x="847725" y="19392900"/>
          <a:chExt cx="2619374" cy="2295525"/>
        </a:xfrm>
      </xdr:grpSpPr>
      <xdr:pic>
        <xdr:nvPicPr>
          <xdr:cNvPr id="69" name="Picture 4">
            <a:extLst>
              <a:ext uri="{FF2B5EF4-FFF2-40B4-BE49-F238E27FC236}">
                <a16:creationId xmlns:a16="http://schemas.microsoft.com/office/drawing/2014/main" id="{00000000-0008-0000-0200-00004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9" cstate="print"/>
          <a:srcRect l="10968" r="12903"/>
          <a:stretch/>
        </xdr:blipFill>
        <xdr:spPr bwMode="auto">
          <a:xfrm>
            <a:off x="847725" y="19392900"/>
            <a:ext cx="1123950" cy="16497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0" name="Picture 23" descr="izo_kozhzam_black.jpg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19300" y="20526375"/>
            <a:ext cx="1447799" cy="1154429"/>
          </a:xfrm>
          <a:prstGeom prst="rect">
            <a:avLst/>
          </a:prstGeom>
        </xdr:spPr>
      </xdr:pic>
      <xdr:pic>
        <xdr:nvPicPr>
          <xdr:cNvPr id="71" name="Picture 3">
            <a:extLst>
              <a:ext uri="{FF2B5EF4-FFF2-40B4-BE49-F238E27FC236}">
                <a16:creationId xmlns:a16="http://schemas.microsoft.com/office/drawing/2014/main" id="{00000000-0008-0000-02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screen">
            <a:grayscl/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09775" y="19554825"/>
            <a:ext cx="1365045" cy="914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Рисунок 71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71600" y="20945475"/>
            <a:ext cx="742950" cy="7429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</xdr:col>
      <xdr:colOff>228600</xdr:colOff>
      <xdr:row>51</xdr:row>
      <xdr:rowOff>9525</xdr:rowOff>
    </xdr:from>
    <xdr:to>
      <xdr:col>7</xdr:col>
      <xdr:colOff>1352550</xdr:colOff>
      <xdr:row>51</xdr:row>
      <xdr:rowOff>1659255</xdr:rowOff>
    </xdr:to>
    <xdr:pic>
      <xdr:nvPicPr>
        <xdr:cNvPr id="73" name="Picture 4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/>
        <a:srcRect l="10968" r="12903"/>
        <a:stretch/>
      </xdr:blipFill>
      <xdr:spPr bwMode="auto">
        <a:xfrm>
          <a:off x="8172450" y="19269075"/>
          <a:ext cx="1123950" cy="1649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7</xdr:col>
      <xdr:colOff>1371600</xdr:colOff>
      <xdr:row>51</xdr:row>
      <xdr:rowOff>57150</xdr:rowOff>
    </xdr:from>
    <xdr:ext cx="1266825" cy="1581150"/>
    <xdr:pic>
      <xdr:nvPicPr>
        <xdr:cNvPr id="74" name="Picture 3" descr="2ef6ecc1815ff522740e5f35d9fc897d.jpg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4918" b="4386"/>
        <a:stretch/>
      </xdr:blipFill>
      <xdr:spPr>
        <a:xfrm>
          <a:off x="9315450" y="19316700"/>
          <a:ext cx="1266825" cy="1581150"/>
        </a:xfrm>
        <a:prstGeom prst="rect">
          <a:avLst/>
        </a:prstGeom>
      </xdr:spPr>
    </xdr:pic>
    <xdr:clientData/>
  </xdr:oneCellAnchor>
  <xdr:twoCellAnchor editAs="oneCell">
    <xdr:from>
      <xdr:col>7</xdr:col>
      <xdr:colOff>209550</xdr:colOff>
      <xdr:row>51</xdr:row>
      <xdr:rowOff>1647825</xdr:rowOff>
    </xdr:from>
    <xdr:to>
      <xdr:col>7</xdr:col>
      <xdr:colOff>1200150</xdr:colOff>
      <xdr:row>51</xdr:row>
      <xdr:rowOff>2558381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0" y="20907375"/>
          <a:ext cx="990600" cy="910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1219200</xdr:colOff>
      <xdr:row>51</xdr:row>
      <xdr:rowOff>1619250</xdr:rowOff>
    </xdr:from>
    <xdr:to>
      <xdr:col>7</xdr:col>
      <xdr:colOff>1971675</xdr:colOff>
      <xdr:row>51</xdr:row>
      <xdr:rowOff>2553427</xdr:rowOff>
    </xdr:to>
    <xdr:pic>
      <xdr:nvPicPr>
        <xdr:cNvPr id="76" name="Picture 23" descr="izo_kozhzam_black.jpg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447" r="20325"/>
        <a:stretch/>
      </xdr:blipFill>
      <xdr:spPr>
        <a:xfrm>
          <a:off x="9163050" y="20878800"/>
          <a:ext cx="752475" cy="934177"/>
        </a:xfrm>
        <a:prstGeom prst="rect">
          <a:avLst/>
        </a:prstGeom>
      </xdr:spPr>
    </xdr:pic>
    <xdr:clientData/>
  </xdr:twoCellAnchor>
  <xdr:twoCellAnchor>
    <xdr:from>
      <xdr:col>7</xdr:col>
      <xdr:colOff>1981200</xdr:colOff>
      <xdr:row>51</xdr:row>
      <xdr:rowOff>1752599</xdr:rowOff>
    </xdr:from>
    <xdr:to>
      <xdr:col>7</xdr:col>
      <xdr:colOff>2619375</xdr:colOff>
      <xdr:row>51</xdr:row>
      <xdr:rowOff>2390774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25050" y="21012149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41924</xdr:colOff>
      <xdr:row>41</xdr:row>
      <xdr:rowOff>352425</xdr:rowOff>
    </xdr:from>
    <xdr:ext cx="1963481" cy="1285876"/>
    <xdr:pic>
      <xdr:nvPicPr>
        <xdr:cNvPr id="78" name="Picture 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grayscl/>
        </a:blip>
        <a:srcRect l="5901" t="6692" r="8094"/>
        <a:stretch/>
      </xdr:blipFill>
      <xdr:spPr bwMode="auto">
        <a:xfrm>
          <a:off x="689624" y="15268575"/>
          <a:ext cx="1963481" cy="1285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1943101</xdr:colOff>
      <xdr:row>41</xdr:row>
      <xdr:rowOff>276224</xdr:rowOff>
    </xdr:from>
    <xdr:to>
      <xdr:col>1</xdr:col>
      <xdr:colOff>2893255</xdr:colOff>
      <xdr:row>41</xdr:row>
      <xdr:rowOff>1666875</xdr:rowOff>
    </xdr:to>
    <xdr:pic>
      <xdr:nvPicPr>
        <xdr:cNvPr id="80" name="Picture 1" descr="Ziko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590801" y="15192374"/>
          <a:ext cx="950154" cy="1390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295274</xdr:colOff>
      <xdr:row>41</xdr:row>
      <xdr:rowOff>1666875</xdr:rowOff>
    </xdr:from>
    <xdr:ext cx="904875" cy="857250"/>
    <xdr:pic>
      <xdr:nvPicPr>
        <xdr:cNvPr id="81" name="Picture 6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 l="4424" t="10438" r="11504" b="17308"/>
        <a:stretch/>
      </xdr:blipFill>
      <xdr:spPr bwMode="auto">
        <a:xfrm>
          <a:off x="942974" y="16583025"/>
          <a:ext cx="9048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1733550</xdr:colOff>
      <xdr:row>41</xdr:row>
      <xdr:rowOff>1790700</xdr:rowOff>
    </xdr:from>
    <xdr:to>
      <xdr:col>1</xdr:col>
      <xdr:colOff>2371725</xdr:colOff>
      <xdr:row>41</xdr:row>
      <xdr:rowOff>2428875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16706850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533400</xdr:colOff>
      <xdr:row>33</xdr:row>
      <xdr:rowOff>1400174</xdr:rowOff>
    </xdr:from>
    <xdr:ext cx="1716228" cy="1123951"/>
    <xdr:pic>
      <xdr:nvPicPr>
        <xdr:cNvPr id="83" name="Picture 3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grayscl/>
        </a:blip>
        <a:srcRect l="5901" t="6692" r="8094"/>
        <a:stretch/>
      </xdr:blipFill>
      <xdr:spPr bwMode="auto">
        <a:xfrm>
          <a:off x="1181100" y="12411074"/>
          <a:ext cx="1716228" cy="1123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2225027</xdr:colOff>
      <xdr:row>33</xdr:row>
      <xdr:rowOff>1381125</xdr:rowOff>
    </xdr:from>
    <xdr:to>
      <xdr:col>1</xdr:col>
      <xdr:colOff>2895600</xdr:colOff>
      <xdr:row>33</xdr:row>
      <xdr:rowOff>2362580</xdr:rowOff>
    </xdr:to>
    <xdr:pic>
      <xdr:nvPicPr>
        <xdr:cNvPr id="84" name="Picture 1" descr="Ziko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872727" y="12392025"/>
          <a:ext cx="670573" cy="981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1424926</xdr:colOff>
      <xdr:row>33</xdr:row>
      <xdr:rowOff>1690939</xdr:rowOff>
    </xdr:from>
    <xdr:ext cx="618770" cy="586203"/>
    <xdr:pic>
      <xdr:nvPicPr>
        <xdr:cNvPr id="85" name="Picture 6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424" t="10438" r="11504" b="17308"/>
        <a:stretch/>
      </xdr:blipFill>
      <xdr:spPr bwMode="auto">
        <a:xfrm>
          <a:off x="2072626" y="12701839"/>
          <a:ext cx="618770" cy="58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815326</xdr:colOff>
      <xdr:row>33</xdr:row>
      <xdr:rowOff>2028827</xdr:rowOff>
    </xdr:from>
    <xdr:to>
      <xdr:col>1</xdr:col>
      <xdr:colOff>1202351</xdr:colOff>
      <xdr:row>33</xdr:row>
      <xdr:rowOff>2415852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3026" y="13039727"/>
          <a:ext cx="387025" cy="38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2282051</xdr:colOff>
      <xdr:row>20</xdr:row>
      <xdr:rowOff>632619</xdr:rowOff>
    </xdr:from>
    <xdr:to>
      <xdr:col>1</xdr:col>
      <xdr:colOff>2697776</xdr:colOff>
      <xdr:row>20</xdr:row>
      <xdr:rowOff>1148900</xdr:rowOff>
    </xdr:to>
    <xdr:pic>
      <xdr:nvPicPr>
        <xdr:cNvPr id="100" name="Picture 23" descr="izo_kozhzam_black.jpg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926820" y="6772581"/>
          <a:ext cx="415725" cy="516281"/>
        </a:xfrm>
        <a:prstGeom prst="rect">
          <a:avLst/>
        </a:prstGeom>
      </xdr:spPr>
    </xdr:pic>
    <xdr:clientData/>
  </xdr:twoCellAnchor>
  <xdr:oneCellAnchor>
    <xdr:from>
      <xdr:col>1</xdr:col>
      <xdr:colOff>1323975</xdr:colOff>
      <xdr:row>33</xdr:row>
      <xdr:rowOff>627717</xdr:rowOff>
    </xdr:from>
    <xdr:ext cx="1162050" cy="761022"/>
    <xdr:pic>
      <xdr:nvPicPr>
        <xdr:cNvPr id="87" name="Picture 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 l="5901" t="6692" r="8094"/>
        <a:stretch/>
      </xdr:blipFill>
      <xdr:spPr bwMode="auto">
        <a:xfrm>
          <a:off x="1971675" y="11638617"/>
          <a:ext cx="1162050" cy="761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</xdr:col>
      <xdr:colOff>866775</xdr:colOff>
      <xdr:row>33</xdr:row>
      <xdr:rowOff>638175</xdr:rowOff>
    </xdr:from>
    <xdr:to>
      <xdr:col>1</xdr:col>
      <xdr:colOff>1362075</xdr:colOff>
      <xdr:row>33</xdr:row>
      <xdr:rowOff>1249679</xdr:rowOff>
    </xdr:to>
    <xdr:pic>
      <xdr:nvPicPr>
        <xdr:cNvPr id="88" name="Picture 23" descr="izo_kozhzam_black.jpg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>
          <a:off x="1514475" y="11649075"/>
          <a:ext cx="495300" cy="611504"/>
        </a:xfrm>
        <a:prstGeom prst="rect">
          <a:avLst/>
        </a:prstGeom>
      </xdr:spPr>
    </xdr:pic>
    <xdr:clientData/>
  </xdr:twoCellAnchor>
  <xdr:twoCellAnchor>
    <xdr:from>
      <xdr:col>1</xdr:col>
      <xdr:colOff>1902516</xdr:colOff>
      <xdr:row>20</xdr:row>
      <xdr:rowOff>524181</xdr:rowOff>
    </xdr:from>
    <xdr:to>
      <xdr:col>1</xdr:col>
      <xdr:colOff>2318241</xdr:colOff>
      <xdr:row>20</xdr:row>
      <xdr:rowOff>1040462</xdr:rowOff>
    </xdr:to>
    <xdr:pic>
      <xdr:nvPicPr>
        <xdr:cNvPr id="99" name="Picture 23" descr="izo_kozhzam_black.jpg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547285" y="6664143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2447925</xdr:colOff>
      <xdr:row>33</xdr:row>
      <xdr:rowOff>638175</xdr:rowOff>
    </xdr:from>
    <xdr:to>
      <xdr:col>2</xdr:col>
      <xdr:colOff>0</xdr:colOff>
      <xdr:row>33</xdr:row>
      <xdr:rowOff>1249679</xdr:rowOff>
    </xdr:to>
    <xdr:pic>
      <xdr:nvPicPr>
        <xdr:cNvPr id="89" name="Picture 23" descr="izo_kozhzam_black.jpg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3095625" y="11649075"/>
          <a:ext cx="495300" cy="61150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33</xdr:row>
      <xdr:rowOff>1133475</xdr:rowOff>
    </xdr:from>
    <xdr:to>
      <xdr:col>1</xdr:col>
      <xdr:colOff>552450</xdr:colOff>
      <xdr:row>33</xdr:row>
      <xdr:rowOff>2543175</xdr:rowOff>
    </xdr:to>
    <xdr:pic>
      <xdr:nvPicPr>
        <xdr:cNvPr id="90" name="Picture 40" descr="111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/>
        <a:srcRect l="17787" r="12331"/>
        <a:stretch/>
      </xdr:blipFill>
      <xdr:spPr bwMode="auto">
        <a:xfrm>
          <a:off x="752475" y="12144375"/>
          <a:ext cx="4476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28575</xdr:colOff>
      <xdr:row>33</xdr:row>
      <xdr:rowOff>47626</xdr:rowOff>
    </xdr:from>
    <xdr:ext cx="863829" cy="990599"/>
    <xdr:pic>
      <xdr:nvPicPr>
        <xdr:cNvPr id="91" name="Picture 5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76275" y="11058526"/>
          <a:ext cx="863829" cy="990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1914525</xdr:colOff>
      <xdr:row>33</xdr:row>
      <xdr:rowOff>19049</xdr:rowOff>
    </xdr:from>
    <xdr:to>
      <xdr:col>1</xdr:col>
      <xdr:colOff>2576114</xdr:colOff>
      <xdr:row>33</xdr:row>
      <xdr:rowOff>609866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2225" y="11029949"/>
          <a:ext cx="661589" cy="590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785891</xdr:colOff>
      <xdr:row>20</xdr:row>
      <xdr:rowOff>404018</xdr:rowOff>
    </xdr:from>
    <xdr:to>
      <xdr:col>1</xdr:col>
      <xdr:colOff>1201616</xdr:colOff>
      <xdr:row>20</xdr:row>
      <xdr:rowOff>920299</xdr:rowOff>
    </xdr:to>
    <xdr:pic>
      <xdr:nvPicPr>
        <xdr:cNvPr id="95" name="Picture 23" descr="izo_kozhzam_black.jpg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430660" y="6543980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1530308</xdr:colOff>
      <xdr:row>20</xdr:row>
      <xdr:rowOff>459703</xdr:rowOff>
    </xdr:from>
    <xdr:to>
      <xdr:col>1</xdr:col>
      <xdr:colOff>1946033</xdr:colOff>
      <xdr:row>20</xdr:row>
      <xdr:rowOff>975984</xdr:rowOff>
    </xdr:to>
    <xdr:pic>
      <xdr:nvPicPr>
        <xdr:cNvPr id="98" name="Picture 23" descr="izo_kozhzam_black.jpg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175077" y="6599665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1165426</xdr:colOff>
      <xdr:row>20</xdr:row>
      <xdr:rowOff>409879</xdr:rowOff>
    </xdr:from>
    <xdr:to>
      <xdr:col>1</xdr:col>
      <xdr:colOff>1581151</xdr:colOff>
      <xdr:row>20</xdr:row>
      <xdr:rowOff>926160</xdr:rowOff>
    </xdr:to>
    <xdr:pic>
      <xdr:nvPicPr>
        <xdr:cNvPr id="97" name="Picture 23" descr="izo_kozhzam_black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810195" y="6549841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2243955</xdr:colOff>
      <xdr:row>20</xdr:row>
      <xdr:rowOff>2037923</xdr:rowOff>
    </xdr:from>
    <xdr:to>
      <xdr:col>1</xdr:col>
      <xdr:colOff>2659680</xdr:colOff>
      <xdr:row>20</xdr:row>
      <xdr:rowOff>2554204</xdr:rowOff>
    </xdr:to>
    <xdr:pic>
      <xdr:nvPicPr>
        <xdr:cNvPr id="102" name="Picture 23" descr="izo_kozhzam_black.jpg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888724" y="8177885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1864420</xdr:colOff>
      <xdr:row>20</xdr:row>
      <xdr:rowOff>1929485</xdr:rowOff>
    </xdr:from>
    <xdr:to>
      <xdr:col>1</xdr:col>
      <xdr:colOff>2280145</xdr:colOff>
      <xdr:row>20</xdr:row>
      <xdr:rowOff>2445766</xdr:rowOff>
    </xdr:to>
    <xdr:pic>
      <xdr:nvPicPr>
        <xdr:cNvPr id="103" name="Picture 23" descr="izo_kozhzam_black.jp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509189" y="8069447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747795</xdr:colOff>
      <xdr:row>20</xdr:row>
      <xdr:rowOff>1809322</xdr:rowOff>
    </xdr:from>
    <xdr:to>
      <xdr:col>1</xdr:col>
      <xdr:colOff>1163520</xdr:colOff>
      <xdr:row>20</xdr:row>
      <xdr:rowOff>2325603</xdr:rowOff>
    </xdr:to>
    <xdr:pic>
      <xdr:nvPicPr>
        <xdr:cNvPr id="104" name="Picture 23" descr="izo_kozhzam_black.jpg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392564" y="7949284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1492212</xdr:colOff>
      <xdr:row>20</xdr:row>
      <xdr:rowOff>1865007</xdr:rowOff>
    </xdr:from>
    <xdr:to>
      <xdr:col>1</xdr:col>
      <xdr:colOff>1907937</xdr:colOff>
      <xdr:row>20</xdr:row>
      <xdr:rowOff>2381288</xdr:rowOff>
    </xdr:to>
    <xdr:pic>
      <xdr:nvPicPr>
        <xdr:cNvPr id="105" name="Picture 23" descr="izo_kozhzam_black.jpg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136981" y="8004969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1127330</xdr:colOff>
      <xdr:row>20</xdr:row>
      <xdr:rowOff>1815183</xdr:rowOff>
    </xdr:from>
    <xdr:to>
      <xdr:col>1</xdr:col>
      <xdr:colOff>1543055</xdr:colOff>
      <xdr:row>20</xdr:row>
      <xdr:rowOff>2331464</xdr:rowOff>
    </xdr:to>
    <xdr:pic>
      <xdr:nvPicPr>
        <xdr:cNvPr id="106" name="Picture 23" descr="izo_kozhzam_black.jpg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772099" y="7955145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153865</xdr:colOff>
      <xdr:row>20</xdr:row>
      <xdr:rowOff>1531327</xdr:rowOff>
    </xdr:from>
    <xdr:to>
      <xdr:col>1</xdr:col>
      <xdr:colOff>467982</xdr:colOff>
      <xdr:row>20</xdr:row>
      <xdr:rowOff>2520461</xdr:rowOff>
    </xdr:to>
    <xdr:pic>
      <xdr:nvPicPr>
        <xdr:cNvPr id="107" name="Picture 40" descr="111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/>
        <a:srcRect l="17787" r="12331"/>
        <a:stretch/>
      </xdr:blipFill>
      <xdr:spPr bwMode="auto">
        <a:xfrm>
          <a:off x="798634" y="7671289"/>
          <a:ext cx="314117" cy="989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575374</xdr:colOff>
      <xdr:row>20</xdr:row>
      <xdr:rowOff>1024905</xdr:rowOff>
    </xdr:from>
    <xdr:to>
      <xdr:col>1</xdr:col>
      <xdr:colOff>2856170</xdr:colOff>
      <xdr:row>20</xdr:row>
      <xdr:rowOff>2110153</xdr:rowOff>
    </xdr:to>
    <xdr:grpSp>
      <xdr:nvGrpSpPr>
        <xdr:cNvPr id="44" name="Группа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GrpSpPr/>
      </xdr:nvGrpSpPr>
      <xdr:grpSpPr>
        <a:xfrm>
          <a:off x="1254548" y="7027035"/>
          <a:ext cx="2280796" cy="1085248"/>
          <a:chOff x="1221417" y="7154035"/>
          <a:chExt cx="2280796" cy="1085248"/>
        </a:xfrm>
      </xdr:grpSpPr>
      <xdr:pic>
        <xdr:nvPicPr>
          <xdr:cNvPr id="96" name="Picture 3">
            <a:extLst>
              <a:ext uri="{FF2B5EF4-FFF2-40B4-BE49-F238E27FC236}">
                <a16:creationId xmlns:a16="http://schemas.microsoft.com/office/drawing/2014/main" id="{00000000-0008-0000-0200-00006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1" cstate="screen">
            <a:grayscl/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901" t="6692" r="8094"/>
          <a:stretch/>
        </xdr:blipFill>
        <xdr:spPr bwMode="auto">
          <a:xfrm flipH="1">
            <a:off x="1221417" y="7154035"/>
            <a:ext cx="1209614" cy="792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3" name="Picture 3">
            <a:extLst>
              <a:ext uri="{FF2B5EF4-FFF2-40B4-BE49-F238E27FC236}">
                <a16:creationId xmlns:a16="http://schemas.microsoft.com/office/drawing/2014/main" id="{00000000-0008-0000-0200-00005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1" cstate="screen">
            <a:grayscl/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901" t="6692" r="10370"/>
          <a:stretch/>
        </xdr:blipFill>
        <xdr:spPr bwMode="auto">
          <a:xfrm flipH="1">
            <a:off x="2198514" y="7362284"/>
            <a:ext cx="1303699" cy="8769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200-00006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88638" y="7507489"/>
            <a:ext cx="263771" cy="2637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102737</xdr:colOff>
      <xdr:row>20</xdr:row>
      <xdr:rowOff>432289</xdr:rowOff>
    </xdr:from>
    <xdr:to>
      <xdr:col>1</xdr:col>
      <xdr:colOff>764326</xdr:colOff>
      <xdr:row>20</xdr:row>
      <xdr:rowOff>1023106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47506" y="6572251"/>
          <a:ext cx="661589" cy="590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612913</xdr:colOff>
      <xdr:row>10</xdr:row>
      <xdr:rowOff>869665</xdr:rowOff>
    </xdr:from>
    <xdr:to>
      <xdr:col>1</xdr:col>
      <xdr:colOff>2893709</xdr:colOff>
      <xdr:row>10</xdr:row>
      <xdr:rowOff>1954913</xdr:rowOff>
    </xdr:to>
    <xdr:grpSp>
      <xdr:nvGrpSpPr>
        <xdr:cNvPr id="111" name="Группа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GrpSpPr/>
      </xdr:nvGrpSpPr>
      <xdr:grpSpPr>
        <a:xfrm>
          <a:off x="1292087" y="2653187"/>
          <a:ext cx="2280796" cy="1085248"/>
          <a:chOff x="1221417" y="7154035"/>
          <a:chExt cx="2280796" cy="1085248"/>
        </a:xfrm>
      </xdr:grpSpPr>
      <xdr:pic>
        <xdr:nvPicPr>
          <xdr:cNvPr id="112" name="Picture 3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1" cstate="screen">
            <a:grayscl/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901" t="6692" r="8094"/>
          <a:stretch/>
        </xdr:blipFill>
        <xdr:spPr bwMode="auto">
          <a:xfrm flipH="1">
            <a:off x="1221417" y="7154035"/>
            <a:ext cx="1209614" cy="792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3" name="Picture 3">
            <a:extLst>
              <a:ext uri="{FF2B5EF4-FFF2-40B4-BE49-F238E27FC236}">
                <a16:creationId xmlns:a16="http://schemas.microsoft.com/office/drawing/2014/main" id="{00000000-0008-0000-0200-00007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1" cstate="screen">
            <a:grayscl/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5901" t="6692" r="10370"/>
          <a:stretch/>
        </xdr:blipFill>
        <xdr:spPr bwMode="auto">
          <a:xfrm flipH="1">
            <a:off x="2198514" y="7362284"/>
            <a:ext cx="1303699" cy="8769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00000000-0008-0000-0200-00007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88638" y="7507489"/>
            <a:ext cx="263771" cy="2637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2403929</xdr:colOff>
      <xdr:row>10</xdr:row>
      <xdr:rowOff>609601</xdr:rowOff>
    </xdr:from>
    <xdr:to>
      <xdr:col>1</xdr:col>
      <xdr:colOff>2819654</xdr:colOff>
      <xdr:row>10</xdr:row>
      <xdr:rowOff>1125882</xdr:rowOff>
    </xdr:to>
    <xdr:pic>
      <xdr:nvPicPr>
        <xdr:cNvPr id="115" name="Picture 23" descr="izo_kozhzam_black.jpg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3049972" y="2456623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2024394</xdr:colOff>
      <xdr:row>10</xdr:row>
      <xdr:rowOff>501163</xdr:rowOff>
    </xdr:from>
    <xdr:to>
      <xdr:col>1</xdr:col>
      <xdr:colOff>2440119</xdr:colOff>
      <xdr:row>10</xdr:row>
      <xdr:rowOff>1017444</xdr:rowOff>
    </xdr:to>
    <xdr:pic>
      <xdr:nvPicPr>
        <xdr:cNvPr id="116" name="Picture 23" descr="izo_kozhzam_black.jpg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670437" y="2348185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907769</xdr:colOff>
      <xdr:row>10</xdr:row>
      <xdr:rowOff>381000</xdr:rowOff>
    </xdr:from>
    <xdr:to>
      <xdr:col>1</xdr:col>
      <xdr:colOff>1323494</xdr:colOff>
      <xdr:row>10</xdr:row>
      <xdr:rowOff>897281</xdr:rowOff>
    </xdr:to>
    <xdr:pic>
      <xdr:nvPicPr>
        <xdr:cNvPr id="117" name="Picture 23" descr="izo_kozhzam_black.jp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553812" y="2228022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1652186</xdr:colOff>
      <xdr:row>10</xdr:row>
      <xdr:rowOff>436685</xdr:rowOff>
    </xdr:from>
    <xdr:to>
      <xdr:col>1</xdr:col>
      <xdr:colOff>2067911</xdr:colOff>
      <xdr:row>10</xdr:row>
      <xdr:rowOff>952966</xdr:rowOff>
    </xdr:to>
    <xdr:pic>
      <xdr:nvPicPr>
        <xdr:cNvPr id="118" name="Picture 23" descr="izo_kozhzam_black.jpg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298229" y="2283707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1287304</xdr:colOff>
      <xdr:row>10</xdr:row>
      <xdr:rowOff>386861</xdr:rowOff>
    </xdr:from>
    <xdr:to>
      <xdr:col>1</xdr:col>
      <xdr:colOff>1703029</xdr:colOff>
      <xdr:row>10</xdr:row>
      <xdr:rowOff>903142</xdr:rowOff>
    </xdr:to>
    <xdr:pic>
      <xdr:nvPicPr>
        <xdr:cNvPr id="119" name="Picture 23" descr="izo_kozhzam_black.jp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933347" y="2233883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2365833</xdr:colOff>
      <xdr:row>10</xdr:row>
      <xdr:rowOff>2014905</xdr:rowOff>
    </xdr:from>
    <xdr:to>
      <xdr:col>1</xdr:col>
      <xdr:colOff>2781558</xdr:colOff>
      <xdr:row>10</xdr:row>
      <xdr:rowOff>2531186</xdr:rowOff>
    </xdr:to>
    <xdr:pic>
      <xdr:nvPicPr>
        <xdr:cNvPr id="120" name="Picture 23" descr="izo_kozhzam_black.jpg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3011876" y="3861927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1986298</xdr:colOff>
      <xdr:row>10</xdr:row>
      <xdr:rowOff>1906467</xdr:rowOff>
    </xdr:from>
    <xdr:to>
      <xdr:col>1</xdr:col>
      <xdr:colOff>2402023</xdr:colOff>
      <xdr:row>10</xdr:row>
      <xdr:rowOff>2422748</xdr:rowOff>
    </xdr:to>
    <xdr:pic>
      <xdr:nvPicPr>
        <xdr:cNvPr id="121" name="Picture 23" descr="izo_kozhzam_black.jpg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632341" y="3753489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869673</xdr:colOff>
      <xdr:row>10</xdr:row>
      <xdr:rowOff>1786304</xdr:rowOff>
    </xdr:from>
    <xdr:to>
      <xdr:col>1</xdr:col>
      <xdr:colOff>1285398</xdr:colOff>
      <xdr:row>10</xdr:row>
      <xdr:rowOff>2302585</xdr:rowOff>
    </xdr:to>
    <xdr:pic>
      <xdr:nvPicPr>
        <xdr:cNvPr id="122" name="Picture 23" descr="izo_kozhzam_black.jpg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515716" y="3633326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1614090</xdr:colOff>
      <xdr:row>10</xdr:row>
      <xdr:rowOff>1841989</xdr:rowOff>
    </xdr:from>
    <xdr:to>
      <xdr:col>1</xdr:col>
      <xdr:colOff>2029815</xdr:colOff>
      <xdr:row>10</xdr:row>
      <xdr:rowOff>2358270</xdr:rowOff>
    </xdr:to>
    <xdr:pic>
      <xdr:nvPicPr>
        <xdr:cNvPr id="123" name="Picture 23" descr="izo_kozhzam_black.jpg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2260133" y="3689011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1249208</xdr:colOff>
      <xdr:row>10</xdr:row>
      <xdr:rowOff>1792165</xdr:rowOff>
    </xdr:from>
    <xdr:to>
      <xdr:col>1</xdr:col>
      <xdr:colOff>1664933</xdr:colOff>
      <xdr:row>10</xdr:row>
      <xdr:rowOff>2308446</xdr:rowOff>
    </xdr:to>
    <xdr:pic>
      <xdr:nvPicPr>
        <xdr:cNvPr id="124" name="Picture 23" descr="izo_kozhzam_black.jpg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895251" y="3639187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513516</xdr:colOff>
      <xdr:row>10</xdr:row>
      <xdr:rowOff>342900</xdr:rowOff>
    </xdr:from>
    <xdr:to>
      <xdr:col>1</xdr:col>
      <xdr:colOff>929241</xdr:colOff>
      <xdr:row>10</xdr:row>
      <xdr:rowOff>859181</xdr:rowOff>
    </xdr:to>
    <xdr:pic>
      <xdr:nvPicPr>
        <xdr:cNvPr id="125" name="Picture 23" descr="izo_kozhzam_black.jpg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159559" y="2189922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491986</xdr:colOff>
      <xdr:row>10</xdr:row>
      <xdr:rowOff>1673661</xdr:rowOff>
    </xdr:from>
    <xdr:to>
      <xdr:col>1</xdr:col>
      <xdr:colOff>907711</xdr:colOff>
      <xdr:row>10</xdr:row>
      <xdr:rowOff>2189942</xdr:rowOff>
    </xdr:to>
    <xdr:pic>
      <xdr:nvPicPr>
        <xdr:cNvPr id="126" name="Picture 23" descr="izo_kozhzam_black.jpg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146" r="19269"/>
        <a:stretch/>
      </xdr:blipFill>
      <xdr:spPr>
        <a:xfrm flipH="1">
          <a:off x="1138029" y="3520683"/>
          <a:ext cx="415725" cy="516281"/>
        </a:xfrm>
        <a:prstGeom prst="rect">
          <a:avLst/>
        </a:prstGeom>
      </xdr:spPr>
    </xdr:pic>
    <xdr:clientData/>
  </xdr:twoCellAnchor>
  <xdr:twoCellAnchor>
    <xdr:from>
      <xdr:col>1</xdr:col>
      <xdr:colOff>91109</xdr:colOff>
      <xdr:row>10</xdr:row>
      <xdr:rowOff>298174</xdr:rowOff>
    </xdr:from>
    <xdr:to>
      <xdr:col>1</xdr:col>
      <xdr:colOff>463093</xdr:colOff>
      <xdr:row>10</xdr:row>
      <xdr:rowOff>1469526</xdr:rowOff>
    </xdr:to>
    <xdr:pic>
      <xdr:nvPicPr>
        <xdr:cNvPr id="128" name="Picture 40" descr="111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/>
        <a:srcRect l="17787" r="12331"/>
        <a:stretch/>
      </xdr:blipFill>
      <xdr:spPr bwMode="auto">
        <a:xfrm>
          <a:off x="737152" y="2145196"/>
          <a:ext cx="371984" cy="1171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182215</xdr:colOff>
      <xdr:row>10</xdr:row>
      <xdr:rowOff>66260</xdr:rowOff>
    </xdr:from>
    <xdr:to>
      <xdr:col>4</xdr:col>
      <xdr:colOff>903509</xdr:colOff>
      <xdr:row>10</xdr:row>
      <xdr:rowOff>791198</xdr:rowOff>
    </xdr:to>
    <xdr:pic>
      <xdr:nvPicPr>
        <xdr:cNvPr id="130" name="Рисунок 129" descr="http://www.ikea.com/PIAimages/0378494_PE554818_S5.JPG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480889" y="1913282"/>
          <a:ext cx="721294" cy="724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2343978</xdr:colOff>
      <xdr:row>10</xdr:row>
      <xdr:rowOff>8281</xdr:rowOff>
    </xdr:from>
    <xdr:to>
      <xdr:col>4</xdr:col>
      <xdr:colOff>2882348</xdr:colOff>
      <xdr:row>10</xdr:row>
      <xdr:rowOff>627382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6642652" y="1855303"/>
          <a:ext cx="538370" cy="6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115957</xdr:colOff>
      <xdr:row>10</xdr:row>
      <xdr:rowOff>422413</xdr:rowOff>
    </xdr:from>
    <xdr:to>
      <xdr:col>5</xdr:col>
      <xdr:colOff>57979</xdr:colOff>
      <xdr:row>10</xdr:row>
      <xdr:rowOff>2587678</xdr:rowOff>
    </xdr:to>
    <xdr:grpSp>
      <xdr:nvGrpSpPr>
        <xdr:cNvPr id="45" name="Группа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pSpPr/>
      </xdr:nvGrpSpPr>
      <xdr:grpSpPr>
        <a:xfrm>
          <a:off x="4616174" y="2205935"/>
          <a:ext cx="3023153" cy="2165265"/>
          <a:chOff x="11554240" y="2054087"/>
          <a:chExt cx="2882348" cy="2165265"/>
        </a:xfrm>
      </xdr:grpSpPr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id="{00000000-0008-0000-0200-00008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09783" y="2517914"/>
            <a:ext cx="1200979" cy="9764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00000000-0008-0000-0200-00008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7382" b="4874"/>
          <a:stretch/>
        </xdr:blipFill>
        <xdr:spPr bwMode="auto">
          <a:xfrm>
            <a:off x="13064988" y="2824369"/>
            <a:ext cx="1371600" cy="97848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8" name="Picture 23" descr="izo_kozhzam_black.jpg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3933320" y="2282688"/>
            <a:ext cx="415725" cy="516281"/>
          </a:xfrm>
          <a:prstGeom prst="rect">
            <a:avLst/>
          </a:prstGeom>
        </xdr:spPr>
      </xdr:pic>
      <xdr:pic>
        <xdr:nvPicPr>
          <xdr:cNvPr id="139" name="Picture 23" descr="izo_kozhzam_black.jpg">
            <a:extLst>
              <a:ext uri="{FF2B5EF4-FFF2-40B4-BE49-F238E27FC236}">
                <a16:creationId xmlns:a16="http://schemas.microsoft.com/office/drawing/2014/main" id="{00000000-0008-0000-0200-00008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3553785" y="2174250"/>
            <a:ext cx="415725" cy="516281"/>
          </a:xfrm>
          <a:prstGeom prst="rect">
            <a:avLst/>
          </a:prstGeom>
        </xdr:spPr>
      </xdr:pic>
      <xdr:pic>
        <xdr:nvPicPr>
          <xdr:cNvPr id="140" name="Picture 23" descr="izo_kozhzam_black.jpg">
            <a:extLst>
              <a:ext uri="{FF2B5EF4-FFF2-40B4-BE49-F238E27FC236}">
                <a16:creationId xmlns:a16="http://schemas.microsoft.com/office/drawing/2014/main" id="{00000000-0008-0000-0200-00008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2437160" y="2054087"/>
            <a:ext cx="415725" cy="516281"/>
          </a:xfrm>
          <a:prstGeom prst="rect">
            <a:avLst/>
          </a:prstGeom>
        </xdr:spPr>
      </xdr:pic>
      <xdr:pic>
        <xdr:nvPicPr>
          <xdr:cNvPr id="141" name="Picture 23" descr="izo_kozhzam_black.jpg">
            <a:extLst>
              <a:ext uri="{FF2B5EF4-FFF2-40B4-BE49-F238E27FC236}">
                <a16:creationId xmlns:a16="http://schemas.microsoft.com/office/drawing/2014/main" id="{00000000-0008-0000-0200-00008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3181577" y="2109772"/>
            <a:ext cx="415725" cy="516281"/>
          </a:xfrm>
          <a:prstGeom prst="rect">
            <a:avLst/>
          </a:prstGeom>
        </xdr:spPr>
      </xdr:pic>
      <xdr:pic>
        <xdr:nvPicPr>
          <xdr:cNvPr id="142" name="Picture 23" descr="izo_kozhzam_black.jpg">
            <a:extLst>
              <a:ext uri="{FF2B5EF4-FFF2-40B4-BE49-F238E27FC236}">
                <a16:creationId xmlns:a16="http://schemas.microsoft.com/office/drawing/2014/main" id="{00000000-0008-0000-0200-00008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2816695" y="2059948"/>
            <a:ext cx="415725" cy="516281"/>
          </a:xfrm>
          <a:prstGeom prst="rect">
            <a:avLst/>
          </a:prstGeom>
        </xdr:spPr>
      </xdr:pic>
      <xdr:pic>
        <xdr:nvPicPr>
          <xdr:cNvPr id="143" name="Picture 23" descr="izo_kozhzam_black.jpg">
            <a:extLst>
              <a:ext uri="{FF2B5EF4-FFF2-40B4-BE49-F238E27FC236}">
                <a16:creationId xmlns:a16="http://schemas.microsoft.com/office/drawing/2014/main" id="{00000000-0008-0000-0200-00008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3895224" y="3687992"/>
            <a:ext cx="415725" cy="516281"/>
          </a:xfrm>
          <a:prstGeom prst="rect">
            <a:avLst/>
          </a:prstGeom>
        </xdr:spPr>
      </xdr:pic>
      <xdr:pic>
        <xdr:nvPicPr>
          <xdr:cNvPr id="144" name="Picture 23" descr="izo_kozhzam_black.jpg">
            <a:extLst>
              <a:ext uri="{FF2B5EF4-FFF2-40B4-BE49-F238E27FC236}">
                <a16:creationId xmlns:a16="http://schemas.microsoft.com/office/drawing/2014/main" id="{00000000-0008-0000-0200-00009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3515689" y="3579554"/>
            <a:ext cx="415725" cy="516281"/>
          </a:xfrm>
          <a:prstGeom prst="rect">
            <a:avLst/>
          </a:prstGeom>
        </xdr:spPr>
      </xdr:pic>
      <xdr:pic>
        <xdr:nvPicPr>
          <xdr:cNvPr id="145" name="Picture 23" descr="izo_kozhzam_black.jpg">
            <a:extLst>
              <a:ext uri="{FF2B5EF4-FFF2-40B4-BE49-F238E27FC236}">
                <a16:creationId xmlns:a16="http://schemas.microsoft.com/office/drawing/2014/main" id="{00000000-0008-0000-0200-00009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2399064" y="3459391"/>
            <a:ext cx="415725" cy="516281"/>
          </a:xfrm>
          <a:prstGeom prst="rect">
            <a:avLst/>
          </a:prstGeom>
        </xdr:spPr>
      </xdr:pic>
      <xdr:pic>
        <xdr:nvPicPr>
          <xdr:cNvPr id="146" name="Picture 23" descr="izo_kozhzam_black.jpg">
            <a:extLst>
              <a:ext uri="{FF2B5EF4-FFF2-40B4-BE49-F238E27FC236}">
                <a16:creationId xmlns:a16="http://schemas.microsoft.com/office/drawing/2014/main" id="{00000000-0008-0000-0200-00009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3143481" y="3515076"/>
            <a:ext cx="415725" cy="516281"/>
          </a:xfrm>
          <a:prstGeom prst="rect">
            <a:avLst/>
          </a:prstGeom>
        </xdr:spPr>
      </xdr:pic>
      <xdr:pic>
        <xdr:nvPicPr>
          <xdr:cNvPr id="147" name="Picture 23" descr="izo_kozhzam_black.jpg">
            <a:extLst>
              <a:ext uri="{FF2B5EF4-FFF2-40B4-BE49-F238E27FC236}">
                <a16:creationId xmlns:a16="http://schemas.microsoft.com/office/drawing/2014/main" id="{00000000-0008-0000-02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2778599" y="3465252"/>
            <a:ext cx="415725" cy="516281"/>
          </a:xfrm>
          <a:prstGeom prst="rect">
            <a:avLst/>
          </a:prstGeom>
        </xdr:spPr>
      </xdr:pic>
      <xdr:pic>
        <xdr:nvPicPr>
          <xdr:cNvPr id="148" name="Picture 23" descr="izo_kozhzam_black.jpg">
            <a:extLst>
              <a:ext uri="{FF2B5EF4-FFF2-40B4-BE49-F238E27FC236}">
                <a16:creationId xmlns:a16="http://schemas.microsoft.com/office/drawing/2014/main" id="{00000000-0008-0000-0200-00009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1612212" y="2546074"/>
            <a:ext cx="415725" cy="516281"/>
          </a:xfrm>
          <a:prstGeom prst="rect">
            <a:avLst/>
          </a:prstGeom>
        </xdr:spPr>
      </xdr:pic>
      <xdr:pic>
        <xdr:nvPicPr>
          <xdr:cNvPr id="149" name="Picture 23" descr="izo_kozhzam_black.jpg">
            <a:extLst>
              <a:ext uri="{FF2B5EF4-FFF2-40B4-BE49-F238E27FC236}">
                <a16:creationId xmlns:a16="http://schemas.microsoft.com/office/drawing/2014/main" id="{00000000-0008-0000-0200-00009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12021377" y="3346748"/>
            <a:ext cx="415725" cy="516281"/>
          </a:xfrm>
          <a:prstGeom prst="rect">
            <a:avLst/>
          </a:prstGeom>
        </xdr:spPr>
      </xdr:pic>
      <xdr:pic>
        <xdr:nvPicPr>
          <xdr:cNvPr id="150" name="Picture 40" descr="111">
            <a:extLst>
              <a:ext uri="{FF2B5EF4-FFF2-40B4-BE49-F238E27FC236}">
                <a16:creationId xmlns:a16="http://schemas.microsoft.com/office/drawing/2014/main" id="{00000000-0008-0000-0200-00009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3" cstate="print"/>
          <a:srcRect l="17787" r="12331"/>
          <a:stretch/>
        </xdr:blipFill>
        <xdr:spPr bwMode="auto">
          <a:xfrm>
            <a:off x="11554240" y="3048000"/>
            <a:ext cx="371984" cy="11713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1" name="Рисунок 150">
            <a:extLst>
              <a:ext uri="{FF2B5EF4-FFF2-40B4-BE49-F238E27FC236}">
                <a16:creationId xmlns:a16="http://schemas.microsoft.com/office/drawing/2014/main" id="{00000000-0008-0000-0200-00009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473608" y="3023144"/>
            <a:ext cx="263771" cy="2637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</xdr:col>
      <xdr:colOff>144056</xdr:colOff>
      <xdr:row>10</xdr:row>
      <xdr:rowOff>220319</xdr:rowOff>
    </xdr:from>
    <xdr:to>
      <xdr:col>7</xdr:col>
      <xdr:colOff>1371538</xdr:colOff>
      <xdr:row>10</xdr:row>
      <xdr:rowOff>2109856</xdr:rowOff>
    </xdr:to>
    <xdr:grpSp>
      <xdr:nvGrpSpPr>
        <xdr:cNvPr id="48" name="Группа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GrpSpPr/>
      </xdr:nvGrpSpPr>
      <xdr:grpSpPr>
        <a:xfrm>
          <a:off x="8465317" y="2003841"/>
          <a:ext cx="1227482" cy="1889537"/>
          <a:chOff x="8095360" y="2067341"/>
          <a:chExt cx="1227482" cy="1889537"/>
        </a:xfrm>
      </xdr:grpSpPr>
      <xdr:pic>
        <xdr:nvPicPr>
          <xdr:cNvPr id="153" name="Рисунок 152">
            <a:extLst>
              <a:ext uri="{FF2B5EF4-FFF2-40B4-BE49-F238E27FC236}">
                <a16:creationId xmlns:a16="http://schemas.microsoft.com/office/drawing/2014/main" id="{00000000-0008-0000-0200-00009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183217" y="2502609"/>
            <a:ext cx="1043609" cy="10298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8" name="Picture 23" descr="izo_kozhzam_black.jpg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8779563" y="2087218"/>
            <a:ext cx="415725" cy="516281"/>
          </a:xfrm>
          <a:prstGeom prst="rect">
            <a:avLst/>
          </a:prstGeom>
        </xdr:spPr>
      </xdr:pic>
      <xdr:pic>
        <xdr:nvPicPr>
          <xdr:cNvPr id="159" name="Picture 23" descr="izo_kozhzam_black.jpg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>
            <a:off x="8095360" y="3430658"/>
            <a:ext cx="415725" cy="516281"/>
          </a:xfrm>
          <a:prstGeom prst="rect">
            <a:avLst/>
          </a:prstGeom>
        </xdr:spPr>
      </xdr:pic>
      <xdr:pic>
        <xdr:nvPicPr>
          <xdr:cNvPr id="161" name="Picture 23" descr="izo_kozhzam_black.jpg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>
            <a:off x="8115238" y="2067341"/>
            <a:ext cx="415725" cy="516281"/>
          </a:xfrm>
          <a:prstGeom prst="rect">
            <a:avLst/>
          </a:prstGeom>
        </xdr:spPr>
      </xdr:pic>
      <xdr:pic>
        <xdr:nvPicPr>
          <xdr:cNvPr id="162" name="Picture 23" descr="izo_kozhzam_black.jpg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8907117" y="3440597"/>
            <a:ext cx="415725" cy="516281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1878435</xdr:colOff>
      <xdr:row>10</xdr:row>
      <xdr:rowOff>256762</xdr:rowOff>
    </xdr:from>
    <xdr:to>
      <xdr:col>8</xdr:col>
      <xdr:colOff>178843</xdr:colOff>
      <xdr:row>10</xdr:row>
      <xdr:rowOff>2146299</xdr:rowOff>
    </xdr:to>
    <xdr:grpSp>
      <xdr:nvGrpSpPr>
        <xdr:cNvPr id="164" name="Группа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GrpSpPr/>
      </xdr:nvGrpSpPr>
      <xdr:grpSpPr>
        <a:xfrm>
          <a:off x="10199696" y="2040284"/>
          <a:ext cx="1381538" cy="1889537"/>
          <a:chOff x="8095360" y="2067341"/>
          <a:chExt cx="1240734" cy="1889537"/>
        </a:xfrm>
      </xdr:grpSpPr>
      <xdr:pic>
        <xdr:nvPicPr>
          <xdr:cNvPr id="165" name="Рисунок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183217" y="2502609"/>
            <a:ext cx="1043609" cy="10298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6" name="Picture 23" descr="izo_kozhzam_black.jpg">
            <a:extLst>
              <a:ext uri="{FF2B5EF4-FFF2-40B4-BE49-F238E27FC236}">
                <a16:creationId xmlns:a16="http://schemas.microsoft.com/office/drawing/2014/main" id="{00000000-0008-0000-0200-0000A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8920369" y="2087218"/>
            <a:ext cx="415725" cy="516281"/>
          </a:xfrm>
          <a:prstGeom prst="rect">
            <a:avLst/>
          </a:prstGeom>
        </xdr:spPr>
      </xdr:pic>
      <xdr:pic>
        <xdr:nvPicPr>
          <xdr:cNvPr id="167" name="Picture 23" descr="izo_kozhzam_black.jpg">
            <a:extLst>
              <a:ext uri="{FF2B5EF4-FFF2-40B4-BE49-F238E27FC236}">
                <a16:creationId xmlns:a16="http://schemas.microsoft.com/office/drawing/2014/main" id="{00000000-0008-0000-0200-0000A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>
            <a:off x="8095360" y="3430658"/>
            <a:ext cx="415725" cy="516281"/>
          </a:xfrm>
          <a:prstGeom prst="rect">
            <a:avLst/>
          </a:prstGeom>
        </xdr:spPr>
      </xdr:pic>
      <xdr:pic>
        <xdr:nvPicPr>
          <xdr:cNvPr id="168" name="Picture 23" descr="izo_kozhzam_black.jpg">
            <a:extLst>
              <a:ext uri="{FF2B5EF4-FFF2-40B4-BE49-F238E27FC236}">
                <a16:creationId xmlns:a16="http://schemas.microsoft.com/office/drawing/2014/main" id="{00000000-0008-0000-0200-0000A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>
            <a:off x="8256048" y="2067341"/>
            <a:ext cx="415725" cy="516281"/>
          </a:xfrm>
          <a:prstGeom prst="rect">
            <a:avLst/>
          </a:prstGeom>
        </xdr:spPr>
      </xdr:pic>
      <xdr:pic>
        <xdr:nvPicPr>
          <xdr:cNvPr id="169" name="Picture 23" descr="izo_kozhzam_black.jpg">
            <a:extLst>
              <a:ext uri="{FF2B5EF4-FFF2-40B4-BE49-F238E27FC236}">
                <a16:creationId xmlns:a16="http://schemas.microsoft.com/office/drawing/2014/main" id="{00000000-0008-0000-0200-0000A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6146" r="19269"/>
          <a:stretch/>
        </xdr:blipFill>
        <xdr:spPr>
          <a:xfrm flipH="1">
            <a:off x="8907117" y="3440597"/>
            <a:ext cx="415725" cy="516281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1275522</xdr:colOff>
      <xdr:row>10</xdr:row>
      <xdr:rowOff>33131</xdr:rowOff>
    </xdr:from>
    <xdr:to>
      <xdr:col>7</xdr:col>
      <xdr:colOff>1953305</xdr:colOff>
      <xdr:row>10</xdr:row>
      <xdr:rowOff>695739</xdr:rowOff>
    </xdr:to>
    <xdr:pic>
      <xdr:nvPicPr>
        <xdr:cNvPr id="170" name="Изображения 1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26826" y="1880153"/>
          <a:ext cx="677783" cy="6626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1507435</xdr:colOff>
      <xdr:row>10</xdr:row>
      <xdr:rowOff>1548847</xdr:rowOff>
    </xdr:from>
    <xdr:to>
      <xdr:col>7</xdr:col>
      <xdr:colOff>1805771</xdr:colOff>
      <xdr:row>10</xdr:row>
      <xdr:rowOff>2488286</xdr:rowOff>
    </xdr:to>
    <xdr:pic>
      <xdr:nvPicPr>
        <xdr:cNvPr id="171" name="Picture 40" descr="111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/>
        <a:srcRect l="17787" r="12331"/>
        <a:stretch/>
      </xdr:blipFill>
      <xdr:spPr bwMode="auto">
        <a:xfrm>
          <a:off x="9458739" y="3395869"/>
          <a:ext cx="298336" cy="939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177647</xdr:colOff>
      <xdr:row>11</xdr:row>
      <xdr:rowOff>34098</xdr:rowOff>
    </xdr:from>
    <xdr:to>
      <xdr:col>10</xdr:col>
      <xdr:colOff>1381608</xdr:colOff>
      <xdr:row>11</xdr:row>
      <xdr:rowOff>1429558</xdr:rowOff>
    </xdr:to>
    <xdr:pic>
      <xdr:nvPicPr>
        <xdr:cNvPr id="2" name="Picture 1" descr="Zik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15829" y="4103871"/>
          <a:ext cx="1203961" cy="1395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24805</xdr:colOff>
      <xdr:row>12</xdr:row>
      <xdr:rowOff>129540</xdr:rowOff>
    </xdr:from>
    <xdr:ext cx="1400023" cy="1674495"/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3893" y="5911775"/>
          <a:ext cx="1400023" cy="167449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7621</xdr:colOff>
      <xdr:row>14</xdr:row>
      <xdr:rowOff>30480</xdr:rowOff>
    </xdr:from>
    <xdr:ext cx="1466850" cy="1682115"/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88181" y="7330440"/>
          <a:ext cx="1466850" cy="1682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204220</xdr:colOff>
      <xdr:row>17</xdr:row>
      <xdr:rowOff>119170</xdr:rowOff>
    </xdr:from>
    <xdr:ext cx="1076326" cy="1186423"/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53008" y="9884700"/>
          <a:ext cx="1076326" cy="1186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15240</xdr:colOff>
      <xdr:row>20</xdr:row>
      <xdr:rowOff>68580</xdr:rowOff>
    </xdr:from>
    <xdr:ext cx="1476375" cy="1649730"/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95800" y="12542520"/>
          <a:ext cx="1476375" cy="1649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83820</xdr:colOff>
      <xdr:row>22</xdr:row>
      <xdr:rowOff>198120</xdr:rowOff>
    </xdr:from>
    <xdr:ext cx="1447800" cy="1449705"/>
    <xdr:pic>
      <xdr:nvPicPr>
        <xdr:cNvPr id="7" name="Picture 6" descr="http://im0-tub-ru.yandex.net/i?id=d64c6761c6b236da4b69f111a53993ca-86-144&amp;n=2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64380" y="14394180"/>
          <a:ext cx="1447800" cy="144970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190500</xdr:colOff>
      <xdr:row>26</xdr:row>
      <xdr:rowOff>30480</xdr:rowOff>
    </xdr:from>
    <xdr:ext cx="1051560" cy="1194955"/>
    <xdr:pic>
      <xdr:nvPicPr>
        <xdr:cNvPr id="8" name="Picture 7" descr="http://im0-tub-ru.yandex.net/i?id=fae7c5851a1ee87c82ae98f2988a1ed4-02-144&amp;n=2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71060" y="17312640"/>
          <a:ext cx="1051560" cy="119495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</xdr:colOff>
      <xdr:row>30</xdr:row>
      <xdr:rowOff>68580</xdr:rowOff>
    </xdr:from>
    <xdr:ext cx="1457325" cy="1472565"/>
    <xdr:pic>
      <xdr:nvPicPr>
        <xdr:cNvPr id="9" name="Picture 1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8660" y="20284440"/>
          <a:ext cx="1457325" cy="147256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41912</xdr:colOff>
      <xdr:row>32</xdr:row>
      <xdr:rowOff>97155</xdr:rowOff>
    </xdr:from>
    <xdr:ext cx="1365045" cy="914400"/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2472" y="21859875"/>
          <a:ext cx="136504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251460</xdr:colOff>
      <xdr:row>40</xdr:row>
      <xdr:rowOff>129541</xdr:rowOff>
    </xdr:from>
    <xdr:ext cx="1029241" cy="1051559"/>
    <xdr:pic>
      <xdr:nvPicPr>
        <xdr:cNvPr id="11" name="Picture 9" descr="ext_inform_imag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2020" y="27683461"/>
          <a:ext cx="1029241" cy="1051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</xdr:col>
      <xdr:colOff>266700</xdr:colOff>
      <xdr:row>19</xdr:row>
      <xdr:rowOff>135255</xdr:rowOff>
    </xdr:from>
    <xdr:to>
      <xdr:col>3</xdr:col>
      <xdr:colOff>1095375</xdr:colOff>
      <xdr:row>19</xdr:row>
      <xdr:rowOff>1693545</xdr:rowOff>
    </xdr:to>
    <xdr:pic>
      <xdr:nvPicPr>
        <xdr:cNvPr id="12" name="Picture 40" descr="1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47260" y="10780395"/>
          <a:ext cx="828675" cy="155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120015</xdr:colOff>
      <xdr:row>42</xdr:row>
      <xdr:rowOff>91441</xdr:rowOff>
    </xdr:from>
    <xdr:ext cx="1295693" cy="1783080"/>
    <xdr:pic>
      <xdr:nvPicPr>
        <xdr:cNvPr id="13" name="Picture 3" descr="2ef6ecc1815ff522740e5f35d9fc897d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0575" y="28895041"/>
          <a:ext cx="1295693" cy="1783080"/>
        </a:xfrm>
        <a:prstGeom prst="rect">
          <a:avLst/>
        </a:prstGeom>
      </xdr:spPr>
    </xdr:pic>
    <xdr:clientData/>
  </xdr:oneCellAnchor>
  <xdr:oneCellAnchor>
    <xdr:from>
      <xdr:col>3</xdr:col>
      <xdr:colOff>20955</xdr:colOff>
      <xdr:row>9</xdr:row>
      <xdr:rowOff>22860</xdr:rowOff>
    </xdr:from>
    <xdr:ext cx="1447799" cy="1154429"/>
    <xdr:pic>
      <xdr:nvPicPr>
        <xdr:cNvPr id="14" name="Picture 23" descr="izo_kozhzam_black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1515" y="2293620"/>
          <a:ext cx="1447799" cy="1154429"/>
        </a:xfrm>
        <a:prstGeom prst="rect">
          <a:avLst/>
        </a:prstGeom>
      </xdr:spPr>
    </xdr:pic>
    <xdr:clientData/>
  </xdr:oneCellAnchor>
  <xdr:oneCellAnchor>
    <xdr:from>
      <xdr:col>3</xdr:col>
      <xdr:colOff>49532</xdr:colOff>
      <xdr:row>34</xdr:row>
      <xdr:rowOff>89535</xdr:rowOff>
    </xdr:from>
    <xdr:ext cx="1365045" cy="914400"/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0092" y="23025735"/>
          <a:ext cx="136504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72392</xdr:colOff>
      <xdr:row>36</xdr:row>
      <xdr:rowOff>66675</xdr:rowOff>
    </xdr:from>
    <xdr:ext cx="1365045" cy="914400"/>
    <xdr:pic>
      <xdr:nvPicPr>
        <xdr:cNvPr id="16" name="Picture 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2" y="24351615"/>
          <a:ext cx="136504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137160</xdr:colOff>
      <xdr:row>28</xdr:row>
      <xdr:rowOff>53340</xdr:rowOff>
    </xdr:from>
    <xdr:ext cx="1264920" cy="1264920"/>
    <xdr:pic>
      <xdr:nvPicPr>
        <xdr:cNvPr id="17" name="Picture 16" descr="http://verstal.su/image/cache/data/products/office/shkaf_razdevallki/skameika-800x800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7720" y="18813780"/>
          <a:ext cx="1264920" cy="1264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91440</xdr:colOff>
      <xdr:row>24</xdr:row>
      <xdr:rowOff>83819</xdr:rowOff>
    </xdr:from>
    <xdr:ext cx="1371600" cy="1028700"/>
    <xdr:pic>
      <xdr:nvPicPr>
        <xdr:cNvPr id="18" name="Picture 17" descr="https://im0-tub-ru.yandex.net/i?id=a3083a2a7106499b3baf9b8792365448-l&amp;n=1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0" y="15956279"/>
          <a:ext cx="13716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28863</xdr:colOff>
      <xdr:row>15</xdr:row>
      <xdr:rowOff>67348</xdr:rowOff>
    </xdr:from>
    <xdr:to>
      <xdr:col>10</xdr:col>
      <xdr:colOff>1445772</xdr:colOff>
      <xdr:row>15</xdr:row>
      <xdr:rowOff>1219348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67045" y="8081818"/>
          <a:ext cx="1416909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36944</xdr:colOff>
      <xdr:row>17</xdr:row>
      <xdr:rowOff>85052</xdr:rowOff>
    </xdr:from>
    <xdr:to>
      <xdr:col>10</xdr:col>
      <xdr:colOff>1453853</xdr:colOff>
      <xdr:row>17</xdr:row>
      <xdr:rowOff>1237052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75126" y="9850582"/>
          <a:ext cx="1416909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134697</xdr:colOff>
      <xdr:row>19</xdr:row>
      <xdr:rowOff>221289</xdr:rowOff>
    </xdr:from>
    <xdr:to>
      <xdr:col>10</xdr:col>
      <xdr:colOff>1387965</xdr:colOff>
      <xdr:row>19</xdr:row>
      <xdr:rowOff>1373289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72879" y="11670531"/>
          <a:ext cx="1253268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394470</xdr:colOff>
      <xdr:row>9</xdr:row>
      <xdr:rowOff>76970</xdr:rowOff>
    </xdr:from>
    <xdr:to>
      <xdr:col>10</xdr:col>
      <xdr:colOff>1237829</xdr:colOff>
      <xdr:row>9</xdr:row>
      <xdr:rowOff>1228970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32652" y="2578485"/>
          <a:ext cx="843359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115455</xdr:colOff>
      <xdr:row>11</xdr:row>
      <xdr:rowOff>19242</xdr:rowOff>
    </xdr:from>
    <xdr:to>
      <xdr:col>3</xdr:col>
      <xdr:colOff>1319416</xdr:colOff>
      <xdr:row>11</xdr:row>
      <xdr:rowOff>1414702</xdr:rowOff>
    </xdr:to>
    <xdr:pic>
      <xdr:nvPicPr>
        <xdr:cNvPr id="23" name="Picture 1" descr="Ziko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64243" y="4089015"/>
          <a:ext cx="1203961" cy="1395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250152</xdr:colOff>
      <xdr:row>21</xdr:row>
      <xdr:rowOff>163561</xdr:rowOff>
    </xdr:from>
    <xdr:to>
      <xdr:col>10</xdr:col>
      <xdr:colOff>1206194</xdr:colOff>
      <xdr:row>21</xdr:row>
      <xdr:rowOff>1315561</xdr:rowOff>
    </xdr:to>
    <xdr:pic>
      <xdr:nvPicPr>
        <xdr:cNvPr id="25" name="Рисунок 24" descr="http://www.defo.ru/upload/resize_cache/iblock/cef/608_608_1b81b55e74777501935d4bbe4bb3986ba/cefeb0726ed458c716b4103f76825fa4.jp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6047" t="34650" r="37208" b="33187"/>
        <a:stretch/>
      </xdr:blipFill>
      <xdr:spPr bwMode="auto">
        <a:xfrm>
          <a:off x="12488334" y="13873788"/>
          <a:ext cx="956042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279015</xdr:colOff>
      <xdr:row>27</xdr:row>
      <xdr:rowOff>173182</xdr:rowOff>
    </xdr:from>
    <xdr:to>
      <xdr:col>10</xdr:col>
      <xdr:colOff>1280793</xdr:colOff>
      <xdr:row>27</xdr:row>
      <xdr:rowOff>1325182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17197" y="19636894"/>
          <a:ext cx="1001778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519545</xdr:colOff>
      <xdr:row>23</xdr:row>
      <xdr:rowOff>19242</xdr:rowOff>
    </xdr:from>
    <xdr:to>
      <xdr:col>10</xdr:col>
      <xdr:colOff>1109306</xdr:colOff>
      <xdr:row>23</xdr:row>
      <xdr:rowOff>1459242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57727" y="15615227"/>
          <a:ext cx="589761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481061</xdr:colOff>
      <xdr:row>25</xdr:row>
      <xdr:rowOff>28862</xdr:rowOff>
    </xdr:from>
    <xdr:to>
      <xdr:col>10</xdr:col>
      <xdr:colOff>1120343</xdr:colOff>
      <xdr:row>25</xdr:row>
      <xdr:rowOff>1468862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14478"/>
        <a:stretch/>
      </xdr:blipFill>
      <xdr:spPr bwMode="auto">
        <a:xfrm>
          <a:off x="12719243" y="17568332"/>
          <a:ext cx="63928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182804</xdr:colOff>
      <xdr:row>29</xdr:row>
      <xdr:rowOff>96213</xdr:rowOff>
    </xdr:from>
    <xdr:to>
      <xdr:col>10</xdr:col>
      <xdr:colOff>1329015</xdr:colOff>
      <xdr:row>29</xdr:row>
      <xdr:rowOff>1248213</xdr:rowOff>
    </xdr:to>
    <xdr:pic>
      <xdr:nvPicPr>
        <xdr:cNvPr id="29" name="Рисунок 28" descr="http://www.ikea.com/PIAimages/0378494_PE554818_S5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0986" y="21176289"/>
          <a:ext cx="1146211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202046</xdr:colOff>
      <xdr:row>9</xdr:row>
      <xdr:rowOff>28864</xdr:rowOff>
    </xdr:from>
    <xdr:to>
      <xdr:col>17</xdr:col>
      <xdr:colOff>1176698</xdr:colOff>
      <xdr:row>9</xdr:row>
      <xdr:rowOff>1252864</xdr:rowOff>
    </xdr:to>
    <xdr:pic>
      <xdr:nvPicPr>
        <xdr:cNvPr id="30" name="Рисунок 29" descr="http://www.defo.ru/upload/resize_cache/iblock/4fe/800_1000_1b81b55e74777501935d4bbe4bb3986ba/4feac693e23763d49d54b9ef07807265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39243" y="2530379"/>
          <a:ext cx="974652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19243</xdr:colOff>
      <xdr:row>13</xdr:row>
      <xdr:rowOff>279016</xdr:rowOff>
    </xdr:from>
    <xdr:to>
      <xdr:col>17</xdr:col>
      <xdr:colOff>1459243</xdr:colOff>
      <xdr:row>13</xdr:row>
      <xdr:rowOff>1347973</xdr:rowOff>
    </xdr:to>
    <xdr:pic>
      <xdr:nvPicPr>
        <xdr:cNvPr id="31" name="Picture 26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56440" y="6224925"/>
          <a:ext cx="1440000" cy="106895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17</xdr:col>
      <xdr:colOff>105834</xdr:colOff>
      <xdr:row>17</xdr:row>
      <xdr:rowOff>67348</xdr:rowOff>
    </xdr:from>
    <xdr:to>
      <xdr:col>17</xdr:col>
      <xdr:colOff>1402512</xdr:colOff>
      <xdr:row>17</xdr:row>
      <xdr:rowOff>1346970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43031" y="9832878"/>
          <a:ext cx="1296678" cy="1279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67348</xdr:colOff>
      <xdr:row>19</xdr:row>
      <xdr:rowOff>279016</xdr:rowOff>
    </xdr:from>
    <xdr:to>
      <xdr:col>17</xdr:col>
      <xdr:colOff>1414177</xdr:colOff>
      <xdr:row>19</xdr:row>
      <xdr:rowOff>1661288</xdr:rowOff>
    </xdr:to>
    <xdr:pic>
      <xdr:nvPicPr>
        <xdr:cNvPr id="34" name="Изображения 4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04545" y="11728258"/>
          <a:ext cx="1346829" cy="13822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17</xdr:col>
      <xdr:colOff>384849</xdr:colOff>
      <xdr:row>23</xdr:row>
      <xdr:rowOff>57727</xdr:rowOff>
    </xdr:from>
    <xdr:to>
      <xdr:col>17</xdr:col>
      <xdr:colOff>1042346</xdr:colOff>
      <xdr:row>23</xdr:row>
      <xdr:rowOff>1497727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22046" y="15653712"/>
          <a:ext cx="65749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471440</xdr:colOff>
      <xdr:row>25</xdr:row>
      <xdr:rowOff>28864</xdr:rowOff>
    </xdr:from>
    <xdr:to>
      <xdr:col>17</xdr:col>
      <xdr:colOff>1032708</xdr:colOff>
      <xdr:row>25</xdr:row>
      <xdr:rowOff>1468864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08637" y="17568334"/>
          <a:ext cx="561268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442576</xdr:colOff>
      <xdr:row>27</xdr:row>
      <xdr:rowOff>19243</xdr:rowOff>
    </xdr:from>
    <xdr:to>
      <xdr:col>17</xdr:col>
      <xdr:colOff>1100073</xdr:colOff>
      <xdr:row>27</xdr:row>
      <xdr:rowOff>1459243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9773" y="19482955"/>
          <a:ext cx="65749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163560</xdr:colOff>
      <xdr:row>29</xdr:row>
      <xdr:rowOff>105833</xdr:rowOff>
    </xdr:from>
    <xdr:to>
      <xdr:col>17</xdr:col>
      <xdr:colOff>1341942</xdr:colOff>
      <xdr:row>29</xdr:row>
      <xdr:rowOff>1257833</xdr:rowOff>
    </xdr:to>
    <xdr:pic>
      <xdr:nvPicPr>
        <xdr:cNvPr id="38" name="Изображения 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00757" y="21368712"/>
          <a:ext cx="1178382" cy="115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17</xdr:col>
      <xdr:colOff>259773</xdr:colOff>
      <xdr:row>21</xdr:row>
      <xdr:rowOff>9622</xdr:rowOff>
    </xdr:from>
    <xdr:to>
      <xdr:col>17</xdr:col>
      <xdr:colOff>1183409</xdr:colOff>
      <xdr:row>21</xdr:row>
      <xdr:rowOff>1449622</xdr:rowOff>
    </xdr:to>
    <xdr:pic>
      <xdr:nvPicPr>
        <xdr:cNvPr id="39" name="Рисунок 38" descr="http://img.mvideo.ru/Pdb/20027091b26.jpg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2290" r="12867"/>
        <a:stretch/>
      </xdr:blipFill>
      <xdr:spPr bwMode="auto">
        <a:xfrm>
          <a:off x="20396970" y="13864167"/>
          <a:ext cx="923636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144319</xdr:colOff>
      <xdr:row>10</xdr:row>
      <xdr:rowOff>192424</xdr:rowOff>
    </xdr:from>
    <xdr:to>
      <xdr:col>17</xdr:col>
      <xdr:colOff>1354466</xdr:colOff>
      <xdr:row>11</xdr:row>
      <xdr:rowOff>1064772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1516" y="3973560"/>
          <a:ext cx="121014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28864</xdr:colOff>
      <xdr:row>15</xdr:row>
      <xdr:rowOff>221287</xdr:rowOff>
    </xdr:from>
    <xdr:to>
      <xdr:col>18</xdr:col>
      <xdr:colOff>466254</xdr:colOff>
      <xdr:row>15</xdr:row>
      <xdr:rowOff>1077576</xdr:rowOff>
    </xdr:to>
    <xdr:pic>
      <xdr:nvPicPr>
        <xdr:cNvPr id="41" name="Рисунок 40" descr="http://www.defo.ru/upload/resize_cache/iblock/f7c/594_610_1b81b55e74777501935d4bbe4bb3986ba/f7cdf99efb99fcdb68807f55f12280a3.jpg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32071" b="24634"/>
        <a:stretch/>
      </xdr:blipFill>
      <xdr:spPr bwMode="auto">
        <a:xfrm>
          <a:off x="20166061" y="8380075"/>
          <a:ext cx="1919057" cy="85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19242</xdr:colOff>
      <xdr:row>31</xdr:row>
      <xdr:rowOff>105833</xdr:rowOff>
    </xdr:from>
    <xdr:to>
      <xdr:col>17</xdr:col>
      <xdr:colOff>1459242</xdr:colOff>
      <xdr:row>31</xdr:row>
      <xdr:rowOff>1174790</xdr:rowOff>
    </xdr:to>
    <xdr:pic>
      <xdr:nvPicPr>
        <xdr:cNvPr id="42" name="Picture 26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56439" y="23812500"/>
          <a:ext cx="1440000" cy="106895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10</xdr:col>
      <xdr:colOff>102775</xdr:colOff>
      <xdr:row>12</xdr:row>
      <xdr:rowOff>111764</xdr:rowOff>
    </xdr:from>
    <xdr:to>
      <xdr:col>10</xdr:col>
      <xdr:colOff>1373498</xdr:colOff>
      <xdr:row>13</xdr:row>
      <xdr:rowOff>1423146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2362010" y="5893999"/>
          <a:ext cx="1270723" cy="2028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11206</xdr:colOff>
      <xdr:row>38</xdr:row>
      <xdr:rowOff>196444</xdr:rowOff>
    </xdr:from>
    <xdr:to>
      <xdr:col>3</xdr:col>
      <xdr:colOff>1467119</xdr:colOff>
      <xdr:row>39</xdr:row>
      <xdr:rowOff>997323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0294" y="29824797"/>
          <a:ext cx="1455913" cy="1518055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</xdr:row>
      <xdr:rowOff>78441</xdr:rowOff>
    </xdr:from>
    <xdr:to>
      <xdr:col>3</xdr:col>
      <xdr:colOff>1457779</xdr:colOff>
      <xdr:row>49</xdr:row>
      <xdr:rowOff>848644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3912" y="37158706"/>
          <a:ext cx="1412955" cy="938291"/>
        </a:xfrm>
        <a:prstGeom prst="rect">
          <a:avLst/>
        </a:prstGeom>
      </xdr:spPr>
    </xdr:pic>
    <xdr:clientData/>
  </xdr:twoCellAnchor>
  <xdr:twoCellAnchor editAs="oneCell">
    <xdr:from>
      <xdr:col>3</xdr:col>
      <xdr:colOff>313766</xdr:colOff>
      <xdr:row>46</xdr:row>
      <xdr:rowOff>56031</xdr:rowOff>
    </xdr:from>
    <xdr:to>
      <xdr:col>3</xdr:col>
      <xdr:colOff>1073245</xdr:colOff>
      <xdr:row>47</xdr:row>
      <xdr:rowOff>840442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2854" y="36049325"/>
          <a:ext cx="759479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312"/>
  <sheetViews>
    <sheetView tabSelected="1" zoomScale="90" zoomScaleNormal="90" workbookViewId="0">
      <pane xSplit="12" ySplit="2" topLeftCell="M3" activePane="bottomRight" state="frozen"/>
      <selection pane="topRight" activeCell="M1" sqref="M1"/>
      <selection pane="bottomLeft" activeCell="A3" sqref="A3"/>
      <selection pane="bottomRight" activeCell="C80" sqref="C80"/>
    </sheetView>
  </sheetViews>
  <sheetFormatPr defaultColWidth="9.08984375" defaultRowHeight="14.5" x14ac:dyDescent="0.35"/>
  <cols>
    <col min="1" max="1" width="11.08984375" bestFit="1" customWidth="1"/>
    <col min="2" max="2" width="9.81640625" customWidth="1"/>
    <col min="3" max="3" width="46.90625" customWidth="1"/>
    <col min="4" max="4" width="23.08984375" customWidth="1"/>
    <col min="5" max="5" width="26.26953125" hidden="1" customWidth="1"/>
    <col min="6" max="6" width="13.6328125" hidden="1" customWidth="1"/>
    <col min="7" max="7" width="12.7265625" style="6" hidden="1" customWidth="1"/>
    <col min="8" max="8" width="13.6328125" style="6" hidden="1" customWidth="1"/>
    <col min="9" max="12" width="12.7265625" style="6" hidden="1" customWidth="1"/>
    <col min="13" max="13" width="12.7265625" style="6" customWidth="1"/>
    <col min="14" max="14" width="10.36328125" style="169" customWidth="1"/>
    <col min="15" max="15" width="11.90625" style="15" bestFit="1" customWidth="1"/>
    <col min="16" max="16" width="11" customWidth="1"/>
    <col min="17" max="17" width="11" style="15" bestFit="1" customWidth="1"/>
    <col min="18" max="19" width="11" customWidth="1"/>
    <col min="20" max="20" width="11" style="15" bestFit="1" customWidth="1"/>
    <col min="21" max="22" width="11" customWidth="1"/>
    <col min="23" max="23" width="11" style="15" bestFit="1" customWidth="1"/>
    <col min="24" max="26" width="11" customWidth="1"/>
    <col min="27" max="27" width="11" style="15" bestFit="1" customWidth="1"/>
    <col min="28" max="38" width="11" customWidth="1"/>
    <col min="39" max="39" width="11" bestFit="1" customWidth="1"/>
    <col min="40" max="16384" width="9.08984375" style="5"/>
  </cols>
  <sheetData>
    <row r="1" spans="1:39" ht="21" x14ac:dyDescent="0.35">
      <c r="G1" s="6">
        <v>2018</v>
      </c>
      <c r="H1" s="6">
        <v>2019</v>
      </c>
      <c r="I1" s="6" t="s">
        <v>321</v>
      </c>
      <c r="J1" s="6" t="s">
        <v>329</v>
      </c>
      <c r="K1" s="6" t="s">
        <v>328</v>
      </c>
      <c r="L1" s="163" t="s">
        <v>334</v>
      </c>
      <c r="M1" s="163" t="s">
        <v>331</v>
      </c>
      <c r="N1" s="169" t="s">
        <v>336</v>
      </c>
    </row>
    <row r="2" spans="1:39" s="52" customFormat="1" x14ac:dyDescent="0.35">
      <c r="A2" s="15" t="s">
        <v>330</v>
      </c>
      <c r="B2" s="51" t="s">
        <v>172</v>
      </c>
      <c r="C2" s="51" t="s">
        <v>173</v>
      </c>
      <c r="D2" s="51" t="s">
        <v>174</v>
      </c>
      <c r="E2" s="51" t="s">
        <v>175</v>
      </c>
      <c r="F2" s="51" t="s">
        <v>176</v>
      </c>
      <c r="G2" s="6" t="s">
        <v>180</v>
      </c>
      <c r="H2" s="6" t="s">
        <v>320</v>
      </c>
      <c r="I2" s="6" t="s">
        <v>180</v>
      </c>
      <c r="J2" s="6" t="s">
        <v>180</v>
      </c>
      <c r="K2" s="6"/>
      <c r="L2" s="163" t="s">
        <v>180</v>
      </c>
      <c r="M2" s="163" t="s">
        <v>180</v>
      </c>
      <c r="N2" s="169" t="s">
        <v>337</v>
      </c>
      <c r="O2" s="13">
        <v>1</v>
      </c>
      <c r="P2" s="13">
        <v>2</v>
      </c>
      <c r="Q2" s="13">
        <v>3</v>
      </c>
      <c r="R2" s="13">
        <v>4</v>
      </c>
      <c r="S2" s="13">
        <v>5</v>
      </c>
      <c r="T2" s="13">
        <v>6</v>
      </c>
      <c r="U2" s="13">
        <v>7</v>
      </c>
      <c r="V2" s="13">
        <v>8</v>
      </c>
      <c r="W2" s="13">
        <v>9</v>
      </c>
      <c r="X2" s="13">
        <v>10</v>
      </c>
      <c r="Y2" s="13">
        <v>11</v>
      </c>
      <c r="Z2" s="13">
        <v>12</v>
      </c>
      <c r="AA2" s="13">
        <v>13</v>
      </c>
      <c r="AB2" s="13">
        <v>14</v>
      </c>
      <c r="AC2" s="13">
        <v>15</v>
      </c>
      <c r="AD2" s="13">
        <v>16</v>
      </c>
      <c r="AE2" s="13">
        <v>17</v>
      </c>
      <c r="AF2" s="13">
        <v>18</v>
      </c>
      <c r="AG2" s="13">
        <v>19</v>
      </c>
      <c r="AH2" s="13">
        <v>20</v>
      </c>
      <c r="AI2" s="13">
        <v>21</v>
      </c>
      <c r="AJ2" s="13">
        <v>22</v>
      </c>
      <c r="AK2" s="13">
        <v>23</v>
      </c>
      <c r="AL2" s="13">
        <v>24</v>
      </c>
      <c r="AM2" s="13" t="s">
        <v>179</v>
      </c>
    </row>
    <row r="3" spans="1:39" x14ac:dyDescent="0.35">
      <c r="A3" t="s">
        <v>178</v>
      </c>
      <c r="B3" s="1">
        <v>138</v>
      </c>
      <c r="C3" s="2" t="s">
        <v>0</v>
      </c>
      <c r="D3" s="4" t="s">
        <v>166</v>
      </c>
      <c r="E3" s="2"/>
      <c r="F3" s="2" t="s">
        <v>167</v>
      </c>
      <c r="O3" s="16"/>
      <c r="P3" s="14"/>
      <c r="Q3" s="16"/>
      <c r="R3" s="14"/>
      <c r="S3" s="14"/>
      <c r="T3" s="16"/>
      <c r="U3" s="14"/>
      <c r="V3" s="14"/>
      <c r="W3" s="16"/>
      <c r="X3" s="14"/>
      <c r="Y3" s="14"/>
      <c r="Z3" s="14"/>
      <c r="AA3" s="16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</row>
    <row r="4" spans="1:39" x14ac:dyDescent="0.35">
      <c r="B4" s="1">
        <v>166</v>
      </c>
      <c r="C4" s="2" t="s">
        <v>2</v>
      </c>
      <c r="D4" s="2" t="s">
        <v>1</v>
      </c>
      <c r="E4" s="2" t="s">
        <v>3</v>
      </c>
      <c r="F4" s="2" t="s">
        <v>168</v>
      </c>
      <c r="G4" s="6" t="s">
        <v>177</v>
      </c>
      <c r="I4" s="6" t="s">
        <v>177</v>
      </c>
      <c r="J4" s="6" t="s">
        <v>177</v>
      </c>
      <c r="L4" s="6" t="s">
        <v>177</v>
      </c>
      <c r="M4" s="6" t="s">
        <v>177</v>
      </c>
      <c r="O4" s="16"/>
      <c r="P4" s="14"/>
      <c r="Q4" s="16"/>
      <c r="R4" s="14"/>
      <c r="S4" s="14"/>
      <c r="T4" s="16"/>
      <c r="U4" s="14"/>
      <c r="V4" s="14"/>
      <c r="W4" s="16"/>
      <c r="X4" s="14"/>
      <c r="Y4" s="14"/>
      <c r="Z4" s="14"/>
      <c r="AA4" s="16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</row>
    <row r="5" spans="1:39" x14ac:dyDescent="0.35">
      <c r="B5" s="1">
        <v>113</v>
      </c>
      <c r="C5" s="164" t="s">
        <v>4</v>
      </c>
      <c r="D5" s="2" t="s">
        <v>1</v>
      </c>
      <c r="E5" s="2" t="s">
        <v>5</v>
      </c>
      <c r="F5" s="2" t="s">
        <v>168</v>
      </c>
      <c r="G5" s="6">
        <v>1600</v>
      </c>
      <c r="H5" s="6">
        <v>1000</v>
      </c>
      <c r="I5" s="155">
        <v>1000</v>
      </c>
      <c r="J5" s="155">
        <v>1000</v>
      </c>
      <c r="K5" s="155">
        <v>1000</v>
      </c>
      <c r="L5" s="163">
        <v>3500</v>
      </c>
      <c r="M5" s="163">
        <v>4500</v>
      </c>
      <c r="O5" s="17">
        <f>ROUND(M5/1,-1)</f>
        <v>4500</v>
      </c>
      <c r="P5" s="14">
        <f>O5</f>
        <v>4500</v>
      </c>
      <c r="Q5" s="17">
        <f>ROUND(M5/3,-1)</f>
        <v>1500</v>
      </c>
      <c r="R5" s="14">
        <f>Q5</f>
        <v>1500</v>
      </c>
      <c r="S5" s="14">
        <f>Q5</f>
        <v>1500</v>
      </c>
      <c r="T5" s="17">
        <f>ROUND(M5/6,-1)</f>
        <v>750</v>
      </c>
      <c r="U5" s="14">
        <f>T5</f>
        <v>750</v>
      </c>
      <c r="V5" s="14">
        <f>T5</f>
        <v>750</v>
      </c>
      <c r="W5" s="17">
        <f>ROUND(M5/8,-1)</f>
        <v>560</v>
      </c>
      <c r="X5" s="14">
        <f>W5</f>
        <v>560</v>
      </c>
      <c r="Y5" s="14">
        <f>W5</f>
        <v>560</v>
      </c>
      <c r="Z5" s="14">
        <f>W5</f>
        <v>560</v>
      </c>
      <c r="AA5" s="17">
        <f>ROUND(M5/11,-1)</f>
        <v>410</v>
      </c>
      <c r="AB5" s="14">
        <f>AA5</f>
        <v>410</v>
      </c>
      <c r="AC5" s="14">
        <f t="shared" ref="AC5" si="0">AB5</f>
        <v>410</v>
      </c>
      <c r="AD5" s="14">
        <f t="shared" ref="AD5" si="1">AC5</f>
        <v>410</v>
      </c>
      <c r="AE5" s="14">
        <f t="shared" ref="AE5" si="2">AD5</f>
        <v>410</v>
      </c>
      <c r="AF5" s="14">
        <f t="shared" ref="AF5" si="3">AE5</f>
        <v>410</v>
      </c>
      <c r="AG5" s="14">
        <f t="shared" ref="AG5" si="4">AF5</f>
        <v>410</v>
      </c>
      <c r="AH5" s="14">
        <f t="shared" ref="AH5" si="5">AG5</f>
        <v>410</v>
      </c>
      <c r="AI5" s="14">
        <f t="shared" ref="AI5" si="6">AH5</f>
        <v>410</v>
      </c>
      <c r="AJ5" s="14">
        <f t="shared" ref="AJ5" si="7">AI5</f>
        <v>410</v>
      </c>
      <c r="AK5" s="14">
        <f t="shared" ref="AK5" si="8">AJ5</f>
        <v>410</v>
      </c>
      <c r="AL5" s="14">
        <f t="shared" ref="AL5" si="9">AK5</f>
        <v>410</v>
      </c>
      <c r="AM5" s="14">
        <f t="shared" ref="AM5" si="10">AL5</f>
        <v>410</v>
      </c>
    </row>
    <row r="6" spans="1:39" x14ac:dyDescent="0.35">
      <c r="B6" s="1">
        <v>148</v>
      </c>
      <c r="C6" s="2" t="s">
        <v>6</v>
      </c>
      <c r="D6" s="2" t="s">
        <v>1</v>
      </c>
      <c r="E6" s="2"/>
      <c r="F6" s="2" t="s">
        <v>168</v>
      </c>
      <c r="L6" s="5"/>
      <c r="M6" s="5"/>
      <c r="N6" s="170"/>
      <c r="O6" s="16"/>
      <c r="P6" s="14"/>
      <c r="Q6" s="16"/>
      <c r="R6" s="14"/>
      <c r="S6" s="14"/>
      <c r="T6" s="16"/>
      <c r="U6" s="14"/>
      <c r="V6" s="14"/>
      <c r="W6" s="16"/>
      <c r="X6" s="14"/>
      <c r="Y6" s="14"/>
      <c r="Z6" s="14"/>
      <c r="AA6" s="16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</row>
    <row r="7" spans="1:39" x14ac:dyDescent="0.35">
      <c r="B7" s="1">
        <v>96</v>
      </c>
      <c r="C7" s="164" t="s">
        <v>7</v>
      </c>
      <c r="D7" s="2" t="s">
        <v>1</v>
      </c>
      <c r="E7" s="2" t="s">
        <v>8</v>
      </c>
      <c r="F7" s="2" t="s">
        <v>168</v>
      </c>
      <c r="G7" s="6">
        <v>24500</v>
      </c>
      <c r="H7" s="6">
        <v>33000</v>
      </c>
      <c r="I7" s="6">
        <v>24500</v>
      </c>
      <c r="J7" s="6">
        <v>24500</v>
      </c>
      <c r="K7" s="6">
        <v>24500</v>
      </c>
      <c r="L7" s="155">
        <v>85000</v>
      </c>
      <c r="M7" s="168">
        <v>85000</v>
      </c>
      <c r="N7" s="169">
        <v>82319</v>
      </c>
      <c r="O7" s="17">
        <f>ROUND(M7/9,-1)</f>
        <v>9440</v>
      </c>
      <c r="P7" s="14">
        <f>O7</f>
        <v>9440</v>
      </c>
      <c r="Q7" s="17">
        <f>ROUND(M7/16,-1)</f>
        <v>5310</v>
      </c>
      <c r="R7" s="14">
        <f t="shared" ref="R7" si="11">Q7</f>
        <v>5310</v>
      </c>
      <c r="S7" s="14">
        <f t="shared" ref="S7" si="12">Q7</f>
        <v>5310</v>
      </c>
      <c r="T7" s="17">
        <f>ROUND(M7/20,-1)</f>
        <v>4250</v>
      </c>
      <c r="U7" s="14">
        <f t="shared" ref="U7" si="13">T7</f>
        <v>4250</v>
      </c>
      <c r="V7" s="14">
        <f t="shared" ref="V7" si="14">T7</f>
        <v>4250</v>
      </c>
      <c r="W7" s="17">
        <f>ROUND(M7/24,-1)</f>
        <v>3540</v>
      </c>
      <c r="X7" s="14">
        <f t="shared" ref="X7" si="15">W7</f>
        <v>3540</v>
      </c>
      <c r="Y7" s="14">
        <f t="shared" ref="Y7" si="16">W7</f>
        <v>3540</v>
      </c>
      <c r="Z7" s="14">
        <f t="shared" ref="Z7" si="17">W7</f>
        <v>3540</v>
      </c>
      <c r="AA7" s="17">
        <f>ROUND(M7/30,-1)</f>
        <v>2830</v>
      </c>
      <c r="AB7" s="14">
        <f t="shared" ref="AB7:AB8" si="18">AA7</f>
        <v>2830</v>
      </c>
      <c r="AC7" s="14">
        <f t="shared" ref="AC7:AC8" si="19">AB7</f>
        <v>2830</v>
      </c>
      <c r="AD7" s="14">
        <f t="shared" ref="AD7:AD8" si="20">AC7</f>
        <v>2830</v>
      </c>
      <c r="AE7" s="14">
        <f t="shared" ref="AE7:AE8" si="21">AD7</f>
        <v>2830</v>
      </c>
      <c r="AF7" s="14">
        <f t="shared" ref="AF7:AF8" si="22">AE7</f>
        <v>2830</v>
      </c>
      <c r="AG7" s="14">
        <f t="shared" ref="AG7:AG8" si="23">AF7</f>
        <v>2830</v>
      </c>
      <c r="AH7" s="14">
        <f t="shared" ref="AH7:AH8" si="24">AG7</f>
        <v>2830</v>
      </c>
      <c r="AI7" s="14">
        <f t="shared" ref="AI7:AI8" si="25">AH7</f>
        <v>2830</v>
      </c>
      <c r="AJ7" s="14">
        <f t="shared" ref="AJ7:AJ8" si="26">AI7</f>
        <v>2830</v>
      </c>
      <c r="AK7" s="14">
        <f t="shared" ref="AK7:AK8" si="27">AJ7</f>
        <v>2830</v>
      </c>
      <c r="AL7" s="14">
        <f t="shared" ref="AL7:AL8" si="28">AK7</f>
        <v>2830</v>
      </c>
      <c r="AM7" s="14">
        <f t="shared" ref="AM7" si="29">AL7</f>
        <v>2830</v>
      </c>
    </row>
    <row r="8" spans="1:39" x14ac:dyDescent="0.35">
      <c r="B8" s="1">
        <v>132</v>
      </c>
      <c r="C8" s="164" t="s">
        <v>9</v>
      </c>
      <c r="D8" s="2" t="s">
        <v>1</v>
      </c>
      <c r="E8" s="2" t="s">
        <v>10</v>
      </c>
      <c r="F8" s="2" t="s">
        <v>168</v>
      </c>
      <c r="G8" s="6">
        <v>1000</v>
      </c>
      <c r="H8" s="6">
        <v>1000</v>
      </c>
      <c r="I8" s="6">
        <v>1000</v>
      </c>
      <c r="J8" s="6">
        <v>1000</v>
      </c>
      <c r="K8" s="6">
        <v>1000</v>
      </c>
      <c r="L8" s="6">
        <v>2200</v>
      </c>
      <c r="M8" s="168">
        <v>2200</v>
      </c>
      <c r="N8" s="169">
        <v>2083</v>
      </c>
      <c r="O8" s="17">
        <f>ROUND(M8/9,-1)</f>
        <v>240</v>
      </c>
      <c r="P8" s="17">
        <f>O8</f>
        <v>240</v>
      </c>
      <c r="Q8" s="17">
        <f>P8</f>
        <v>240</v>
      </c>
      <c r="R8" s="17">
        <f>Q8</f>
        <v>240</v>
      </c>
      <c r="S8" s="17">
        <f>ROUND(M8/12,-1)</f>
        <v>180</v>
      </c>
      <c r="T8" s="14">
        <f t="shared" ref="T8" si="30">S8</f>
        <v>180</v>
      </c>
      <c r="U8" s="14">
        <f t="shared" ref="U8" si="31">S8</f>
        <v>180</v>
      </c>
      <c r="V8" s="17">
        <f>ROUND(M8/15,-1)</f>
        <v>150</v>
      </c>
      <c r="W8" s="14">
        <f t="shared" ref="W8" si="32">V8</f>
        <v>150</v>
      </c>
      <c r="X8" s="14">
        <f t="shared" ref="X8" si="33">V8</f>
        <v>150</v>
      </c>
      <c r="Y8" s="14">
        <f t="shared" ref="Y8" si="34">V8</f>
        <v>150</v>
      </c>
      <c r="Z8" s="17">
        <f>ROUND(M8/17,-1)</f>
        <v>130</v>
      </c>
      <c r="AA8" s="14">
        <f t="shared" ref="AA8" si="35">Z8</f>
        <v>130</v>
      </c>
      <c r="AB8" s="14">
        <f t="shared" si="18"/>
        <v>130</v>
      </c>
      <c r="AC8" s="14">
        <f t="shared" si="19"/>
        <v>130</v>
      </c>
      <c r="AD8" s="14">
        <f t="shared" si="20"/>
        <v>130</v>
      </c>
      <c r="AE8" s="14">
        <f t="shared" si="21"/>
        <v>130</v>
      </c>
      <c r="AF8" s="14">
        <f t="shared" si="22"/>
        <v>130</v>
      </c>
      <c r="AG8" s="14">
        <f t="shared" si="23"/>
        <v>130</v>
      </c>
      <c r="AH8" s="14">
        <f t="shared" si="24"/>
        <v>130</v>
      </c>
      <c r="AI8" s="14">
        <f t="shared" si="25"/>
        <v>130</v>
      </c>
      <c r="AJ8" s="14">
        <f t="shared" si="26"/>
        <v>130</v>
      </c>
      <c r="AK8" s="14">
        <f t="shared" si="27"/>
        <v>130</v>
      </c>
      <c r="AL8" s="14">
        <f t="shared" si="28"/>
        <v>130</v>
      </c>
      <c r="AM8" s="5"/>
    </row>
    <row r="9" spans="1:39" x14ac:dyDescent="0.35">
      <c r="A9" t="s">
        <v>178</v>
      </c>
      <c r="B9" s="1">
        <v>153</v>
      </c>
      <c r="C9" s="2" t="s">
        <v>11</v>
      </c>
      <c r="D9" s="2" t="s">
        <v>1</v>
      </c>
      <c r="E9" s="2"/>
      <c r="F9" s="2" t="s">
        <v>168</v>
      </c>
      <c r="L9" s="5"/>
      <c r="M9" s="5"/>
      <c r="N9" s="170"/>
      <c r="O9" s="16"/>
      <c r="P9" s="17"/>
      <c r="Q9" s="17"/>
      <c r="R9" s="14"/>
      <c r="S9" s="14"/>
      <c r="T9" s="16"/>
      <c r="U9" s="14"/>
      <c r="V9" s="14"/>
      <c r="W9" s="16"/>
      <c r="X9" s="14"/>
      <c r="Y9" s="14"/>
      <c r="Z9" s="14"/>
      <c r="AA9" s="16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</row>
    <row r="10" spans="1:39" x14ac:dyDescent="0.35">
      <c r="A10" t="s">
        <v>178</v>
      </c>
      <c r="B10" s="1">
        <v>117</v>
      </c>
      <c r="C10" s="2" t="s">
        <v>15</v>
      </c>
      <c r="D10" s="2" t="s">
        <v>1</v>
      </c>
      <c r="E10" s="2" t="s">
        <v>16</v>
      </c>
      <c r="F10" s="2" t="s">
        <v>168</v>
      </c>
      <c r="L10" s="5"/>
      <c r="M10" s="5"/>
      <c r="N10" s="170"/>
      <c r="O10" s="16"/>
      <c r="P10" s="14"/>
      <c r="Q10" s="16"/>
      <c r="R10" s="14"/>
      <c r="S10" s="14"/>
      <c r="T10" s="16"/>
      <c r="U10" s="14"/>
      <c r="V10" s="14"/>
      <c r="W10" s="16"/>
      <c r="X10" s="14"/>
      <c r="Y10" s="14"/>
      <c r="Z10" s="14"/>
      <c r="AA10" s="16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</row>
    <row r="11" spans="1:39" x14ac:dyDescent="0.35">
      <c r="B11" s="1">
        <v>178</v>
      </c>
      <c r="C11" s="164" t="s">
        <v>17</v>
      </c>
      <c r="D11" s="2" t="s">
        <v>1</v>
      </c>
      <c r="E11" s="2"/>
      <c r="F11" s="2" t="s">
        <v>168</v>
      </c>
      <c r="G11" s="6">
        <v>8000</v>
      </c>
      <c r="H11" s="6">
        <v>16200</v>
      </c>
      <c r="I11" s="155">
        <v>16200</v>
      </c>
      <c r="J11" s="155">
        <v>16200</v>
      </c>
      <c r="K11" s="155">
        <v>16200</v>
      </c>
      <c r="L11" s="155">
        <v>16200</v>
      </c>
      <c r="M11" s="168">
        <v>16200</v>
      </c>
      <c r="N11" s="169">
        <v>12438</v>
      </c>
      <c r="O11" s="17">
        <f>ROUND(M11/9,-1)</f>
        <v>1800</v>
      </c>
      <c r="P11" s="14">
        <f t="shared" ref="P11:P20" si="36">O11</f>
        <v>1800</v>
      </c>
      <c r="Q11" s="17">
        <f t="shared" ref="Q11:Q20" si="37">ROUND(M11/13,-1)</f>
        <v>1250</v>
      </c>
      <c r="R11" s="14">
        <f t="shared" ref="R11:R20" si="38">Q11</f>
        <v>1250</v>
      </c>
      <c r="S11" s="14">
        <f t="shared" ref="S11:S20" si="39">Q11</f>
        <v>1250</v>
      </c>
      <c r="T11" s="17">
        <f t="shared" ref="T11:T20" si="40">ROUND(M11/16,-1)</f>
        <v>1010</v>
      </c>
      <c r="U11" s="14">
        <f t="shared" ref="U11:U20" si="41">T11</f>
        <v>1010</v>
      </c>
      <c r="V11" s="14">
        <f t="shared" ref="V11:V20" si="42">T11</f>
        <v>1010</v>
      </c>
      <c r="W11" s="17">
        <f t="shared" ref="W11:W20" si="43">ROUND(M11/20,-1)</f>
        <v>810</v>
      </c>
      <c r="X11" s="14">
        <f t="shared" ref="X11:X20" si="44">W11</f>
        <v>810</v>
      </c>
      <c r="Y11" s="14">
        <f t="shared" ref="Y11:Y20" si="45">W11</f>
        <v>810</v>
      </c>
      <c r="Z11" s="14">
        <f t="shared" ref="Z11:Z20" si="46">W11</f>
        <v>810</v>
      </c>
      <c r="AA11" s="17">
        <f t="shared" ref="AA11:AA20" si="47">ROUND(M11/24,-1)</f>
        <v>680</v>
      </c>
      <c r="AB11" s="14">
        <f t="shared" ref="AB11:AB20" si="48">AA11</f>
        <v>680</v>
      </c>
      <c r="AC11" s="14">
        <f t="shared" ref="AC11:AC20" si="49">AB11</f>
        <v>680</v>
      </c>
      <c r="AD11" s="14">
        <f t="shared" ref="AD11:AD20" si="50">AC11</f>
        <v>680</v>
      </c>
      <c r="AE11" s="14">
        <f t="shared" ref="AE11:AE20" si="51">AD11</f>
        <v>680</v>
      </c>
      <c r="AF11" s="14">
        <f t="shared" ref="AF11:AF20" si="52">AE11</f>
        <v>680</v>
      </c>
      <c r="AG11" s="14">
        <f t="shared" ref="AG11:AG20" si="53">AF11</f>
        <v>680</v>
      </c>
      <c r="AH11" s="14">
        <f t="shared" ref="AH11:AH20" si="54">AG11</f>
        <v>680</v>
      </c>
      <c r="AI11" s="14">
        <f t="shared" ref="AI11:AI20" si="55">AH11</f>
        <v>680</v>
      </c>
      <c r="AJ11" s="14">
        <f t="shared" ref="AJ11:AJ20" si="56">AI11</f>
        <v>680</v>
      </c>
      <c r="AK11" s="14">
        <f t="shared" ref="AK11:AK20" si="57">AJ11</f>
        <v>680</v>
      </c>
      <c r="AL11" s="14">
        <f t="shared" ref="AL11:AL20" si="58">AK11</f>
        <v>680</v>
      </c>
      <c r="AM11" s="14">
        <f t="shared" ref="AM11:AM20" si="59">AL11</f>
        <v>680</v>
      </c>
    </row>
    <row r="12" spans="1:39" x14ac:dyDescent="0.35">
      <c r="B12" s="1">
        <v>179</v>
      </c>
      <c r="C12" s="164" t="s">
        <v>18</v>
      </c>
      <c r="D12" s="2" t="s">
        <v>1</v>
      </c>
      <c r="E12" s="2"/>
      <c r="F12" s="2" t="s">
        <v>168</v>
      </c>
      <c r="G12" s="6">
        <v>20000</v>
      </c>
      <c r="H12" s="6">
        <v>38500</v>
      </c>
      <c r="I12" s="155">
        <v>38500</v>
      </c>
      <c r="J12" s="155">
        <v>38500</v>
      </c>
      <c r="K12" s="155">
        <v>38500</v>
      </c>
      <c r="L12" s="155">
        <v>38500</v>
      </c>
      <c r="M12" s="168">
        <v>38500</v>
      </c>
      <c r="O12" s="17">
        <f t="shared" ref="O12:O20" si="60">ROUND(M12/9,-1)</f>
        <v>4280</v>
      </c>
      <c r="P12" s="14">
        <f t="shared" si="36"/>
        <v>4280</v>
      </c>
      <c r="Q12" s="17">
        <f t="shared" si="37"/>
        <v>2960</v>
      </c>
      <c r="R12" s="14">
        <f t="shared" si="38"/>
        <v>2960</v>
      </c>
      <c r="S12" s="14">
        <f t="shared" si="39"/>
        <v>2960</v>
      </c>
      <c r="T12" s="17">
        <f t="shared" si="40"/>
        <v>2410</v>
      </c>
      <c r="U12" s="14">
        <f t="shared" si="41"/>
        <v>2410</v>
      </c>
      <c r="V12" s="14">
        <f t="shared" si="42"/>
        <v>2410</v>
      </c>
      <c r="W12" s="17">
        <f t="shared" si="43"/>
        <v>1930</v>
      </c>
      <c r="X12" s="14">
        <f t="shared" si="44"/>
        <v>1930</v>
      </c>
      <c r="Y12" s="14">
        <f t="shared" si="45"/>
        <v>1930</v>
      </c>
      <c r="Z12" s="14">
        <f t="shared" si="46"/>
        <v>1930</v>
      </c>
      <c r="AA12" s="17">
        <f t="shared" si="47"/>
        <v>1600</v>
      </c>
      <c r="AB12" s="14">
        <f t="shared" si="48"/>
        <v>1600</v>
      </c>
      <c r="AC12" s="14">
        <f t="shared" si="49"/>
        <v>1600</v>
      </c>
      <c r="AD12" s="14">
        <f t="shared" si="50"/>
        <v>1600</v>
      </c>
      <c r="AE12" s="14">
        <f t="shared" si="51"/>
        <v>1600</v>
      </c>
      <c r="AF12" s="14">
        <f t="shared" si="52"/>
        <v>1600</v>
      </c>
      <c r="AG12" s="14">
        <f t="shared" si="53"/>
        <v>1600</v>
      </c>
      <c r="AH12" s="14">
        <f t="shared" si="54"/>
        <v>1600</v>
      </c>
      <c r="AI12" s="14">
        <f t="shared" si="55"/>
        <v>1600</v>
      </c>
      <c r="AJ12" s="14">
        <f t="shared" si="56"/>
        <v>1600</v>
      </c>
      <c r="AK12" s="14">
        <f t="shared" si="57"/>
        <v>1600</v>
      </c>
      <c r="AL12" s="14">
        <f t="shared" si="58"/>
        <v>1600</v>
      </c>
      <c r="AM12" s="14">
        <f t="shared" si="59"/>
        <v>1600</v>
      </c>
    </row>
    <row r="13" spans="1:39" x14ac:dyDescent="0.35">
      <c r="B13" s="1">
        <v>180</v>
      </c>
      <c r="C13" s="164" t="s">
        <v>19</v>
      </c>
      <c r="D13" s="2" t="s">
        <v>1</v>
      </c>
      <c r="E13" s="2"/>
      <c r="F13" s="2" t="s">
        <v>168</v>
      </c>
      <c r="G13" s="6">
        <v>11500</v>
      </c>
      <c r="H13" s="6">
        <v>34800</v>
      </c>
      <c r="I13" s="155">
        <v>34800</v>
      </c>
      <c r="J13" s="155">
        <v>34800</v>
      </c>
      <c r="K13" s="155">
        <v>34800</v>
      </c>
      <c r="L13" s="155">
        <v>34800</v>
      </c>
      <c r="M13" s="168">
        <v>34800</v>
      </c>
      <c r="O13" s="17">
        <f t="shared" si="60"/>
        <v>3870</v>
      </c>
      <c r="P13" s="14">
        <f t="shared" si="36"/>
        <v>3870</v>
      </c>
      <c r="Q13" s="17">
        <f t="shared" si="37"/>
        <v>2680</v>
      </c>
      <c r="R13" s="14">
        <f t="shared" si="38"/>
        <v>2680</v>
      </c>
      <c r="S13" s="14">
        <f t="shared" si="39"/>
        <v>2680</v>
      </c>
      <c r="T13" s="17">
        <f t="shared" si="40"/>
        <v>2180</v>
      </c>
      <c r="U13" s="14">
        <f t="shared" si="41"/>
        <v>2180</v>
      </c>
      <c r="V13" s="14">
        <f t="shared" si="42"/>
        <v>2180</v>
      </c>
      <c r="W13" s="17">
        <f t="shared" si="43"/>
        <v>1740</v>
      </c>
      <c r="X13" s="14">
        <f t="shared" si="44"/>
        <v>1740</v>
      </c>
      <c r="Y13" s="14">
        <f t="shared" si="45"/>
        <v>1740</v>
      </c>
      <c r="Z13" s="14">
        <f t="shared" si="46"/>
        <v>1740</v>
      </c>
      <c r="AA13" s="17">
        <f t="shared" si="47"/>
        <v>1450</v>
      </c>
      <c r="AB13" s="14">
        <f t="shared" si="48"/>
        <v>1450</v>
      </c>
      <c r="AC13" s="14">
        <f t="shared" si="49"/>
        <v>1450</v>
      </c>
      <c r="AD13" s="14">
        <f t="shared" si="50"/>
        <v>1450</v>
      </c>
      <c r="AE13" s="14">
        <f t="shared" si="51"/>
        <v>1450</v>
      </c>
      <c r="AF13" s="14">
        <f t="shared" si="52"/>
        <v>1450</v>
      </c>
      <c r="AG13" s="14">
        <f t="shared" si="53"/>
        <v>1450</v>
      </c>
      <c r="AH13" s="14">
        <f t="shared" si="54"/>
        <v>1450</v>
      </c>
      <c r="AI13" s="14">
        <f t="shared" si="55"/>
        <v>1450</v>
      </c>
      <c r="AJ13" s="14">
        <f t="shared" si="56"/>
        <v>1450</v>
      </c>
      <c r="AK13" s="14">
        <f t="shared" si="57"/>
        <v>1450</v>
      </c>
      <c r="AL13" s="14">
        <f t="shared" si="58"/>
        <v>1450</v>
      </c>
      <c r="AM13" s="14">
        <f t="shared" si="59"/>
        <v>1450</v>
      </c>
    </row>
    <row r="14" spans="1:39" x14ac:dyDescent="0.35">
      <c r="B14" s="1">
        <v>181</v>
      </c>
      <c r="C14" s="164" t="s">
        <v>20</v>
      </c>
      <c r="D14" s="2" t="s">
        <v>1</v>
      </c>
      <c r="E14" s="2"/>
      <c r="F14" s="2" t="s">
        <v>168</v>
      </c>
      <c r="G14" s="6">
        <v>32000</v>
      </c>
      <c r="H14" s="6">
        <v>57000</v>
      </c>
      <c r="I14" s="155">
        <v>57000</v>
      </c>
      <c r="J14" s="155">
        <v>57000</v>
      </c>
      <c r="K14" s="155">
        <v>57000</v>
      </c>
      <c r="L14" s="155">
        <v>68000</v>
      </c>
      <c r="M14" s="168">
        <v>68000</v>
      </c>
      <c r="O14" s="17">
        <f t="shared" si="60"/>
        <v>7560</v>
      </c>
      <c r="P14" s="14">
        <f t="shared" si="36"/>
        <v>7560</v>
      </c>
      <c r="Q14" s="17">
        <f t="shared" si="37"/>
        <v>5230</v>
      </c>
      <c r="R14" s="14">
        <f t="shared" si="38"/>
        <v>5230</v>
      </c>
      <c r="S14" s="14">
        <f t="shared" si="39"/>
        <v>5230</v>
      </c>
      <c r="T14" s="17">
        <f t="shared" si="40"/>
        <v>4250</v>
      </c>
      <c r="U14" s="14">
        <f t="shared" si="41"/>
        <v>4250</v>
      </c>
      <c r="V14" s="14">
        <f t="shared" si="42"/>
        <v>4250</v>
      </c>
      <c r="W14" s="17">
        <f t="shared" si="43"/>
        <v>3400</v>
      </c>
      <c r="X14" s="14">
        <f t="shared" si="44"/>
        <v>3400</v>
      </c>
      <c r="Y14" s="14">
        <f t="shared" si="45"/>
        <v>3400</v>
      </c>
      <c r="Z14" s="14">
        <f t="shared" si="46"/>
        <v>3400</v>
      </c>
      <c r="AA14" s="17">
        <f t="shared" si="47"/>
        <v>2830</v>
      </c>
      <c r="AB14" s="14">
        <f t="shared" si="48"/>
        <v>2830</v>
      </c>
      <c r="AC14" s="14">
        <f t="shared" si="49"/>
        <v>2830</v>
      </c>
      <c r="AD14" s="14">
        <f t="shared" si="50"/>
        <v>2830</v>
      </c>
      <c r="AE14" s="14">
        <f t="shared" si="51"/>
        <v>2830</v>
      </c>
      <c r="AF14" s="14">
        <f t="shared" si="52"/>
        <v>2830</v>
      </c>
      <c r="AG14" s="14">
        <f t="shared" si="53"/>
        <v>2830</v>
      </c>
      <c r="AH14" s="14">
        <f t="shared" si="54"/>
        <v>2830</v>
      </c>
      <c r="AI14" s="14">
        <f t="shared" si="55"/>
        <v>2830</v>
      </c>
      <c r="AJ14" s="14">
        <f t="shared" si="56"/>
        <v>2830</v>
      </c>
      <c r="AK14" s="14">
        <f t="shared" si="57"/>
        <v>2830</v>
      </c>
      <c r="AL14" s="14">
        <f t="shared" si="58"/>
        <v>2830</v>
      </c>
      <c r="AM14" s="14">
        <f t="shared" si="59"/>
        <v>2830</v>
      </c>
    </row>
    <row r="15" spans="1:39" x14ac:dyDescent="0.35">
      <c r="B15" s="1">
        <v>172</v>
      </c>
      <c r="C15" s="164" t="s">
        <v>21</v>
      </c>
      <c r="D15" s="2" t="s">
        <v>1</v>
      </c>
      <c r="E15" s="2"/>
      <c r="F15" s="2" t="s">
        <v>168</v>
      </c>
      <c r="G15" s="6">
        <v>8000</v>
      </c>
      <c r="H15" s="6">
        <v>15500</v>
      </c>
      <c r="I15" s="155">
        <v>15500</v>
      </c>
      <c r="J15" s="155">
        <v>15500</v>
      </c>
      <c r="K15" s="155">
        <v>15500</v>
      </c>
      <c r="L15" s="155">
        <v>15500</v>
      </c>
      <c r="M15" s="168">
        <v>15500</v>
      </c>
      <c r="N15" s="169">
        <v>11222</v>
      </c>
      <c r="O15" s="17">
        <f t="shared" si="60"/>
        <v>1720</v>
      </c>
      <c r="P15" s="14">
        <f t="shared" si="36"/>
        <v>1720</v>
      </c>
      <c r="Q15" s="17">
        <f t="shared" si="37"/>
        <v>1190</v>
      </c>
      <c r="R15" s="14">
        <f t="shared" si="38"/>
        <v>1190</v>
      </c>
      <c r="S15" s="14">
        <f t="shared" si="39"/>
        <v>1190</v>
      </c>
      <c r="T15" s="17">
        <f t="shared" si="40"/>
        <v>970</v>
      </c>
      <c r="U15" s="14">
        <f t="shared" si="41"/>
        <v>970</v>
      </c>
      <c r="V15" s="14">
        <f t="shared" si="42"/>
        <v>970</v>
      </c>
      <c r="W15" s="17">
        <f t="shared" si="43"/>
        <v>780</v>
      </c>
      <c r="X15" s="14">
        <f t="shared" si="44"/>
        <v>780</v>
      </c>
      <c r="Y15" s="14">
        <f t="shared" si="45"/>
        <v>780</v>
      </c>
      <c r="Z15" s="14">
        <f t="shared" si="46"/>
        <v>780</v>
      </c>
      <c r="AA15" s="17">
        <f t="shared" si="47"/>
        <v>650</v>
      </c>
      <c r="AB15" s="14">
        <f t="shared" si="48"/>
        <v>650</v>
      </c>
      <c r="AC15" s="14">
        <f t="shared" si="49"/>
        <v>650</v>
      </c>
      <c r="AD15" s="14">
        <f t="shared" si="50"/>
        <v>650</v>
      </c>
      <c r="AE15" s="14">
        <f t="shared" si="51"/>
        <v>650</v>
      </c>
      <c r="AF15" s="14">
        <f t="shared" si="52"/>
        <v>650</v>
      </c>
      <c r="AG15" s="14">
        <f t="shared" si="53"/>
        <v>650</v>
      </c>
      <c r="AH15" s="14">
        <f t="shared" si="54"/>
        <v>650</v>
      </c>
      <c r="AI15" s="14">
        <f t="shared" si="55"/>
        <v>650</v>
      </c>
      <c r="AJ15" s="14">
        <f t="shared" si="56"/>
        <v>650</v>
      </c>
      <c r="AK15" s="14">
        <f t="shared" si="57"/>
        <v>650</v>
      </c>
      <c r="AL15" s="14">
        <f t="shared" si="58"/>
        <v>650</v>
      </c>
      <c r="AM15" s="14">
        <f t="shared" si="59"/>
        <v>650</v>
      </c>
    </row>
    <row r="16" spans="1:39" x14ac:dyDescent="0.35">
      <c r="B16" s="1">
        <v>173</v>
      </c>
      <c r="C16" s="164" t="s">
        <v>22</v>
      </c>
      <c r="D16" s="2" t="s">
        <v>1</v>
      </c>
      <c r="E16" s="2"/>
      <c r="F16" s="2" t="s">
        <v>168</v>
      </c>
      <c r="G16" s="6">
        <v>20000</v>
      </c>
      <c r="H16" s="6">
        <v>32500</v>
      </c>
      <c r="I16" s="155">
        <v>32500</v>
      </c>
      <c r="J16" s="155">
        <v>32500</v>
      </c>
      <c r="K16" s="155">
        <v>32500</v>
      </c>
      <c r="L16" s="155">
        <v>32500</v>
      </c>
      <c r="M16" s="168">
        <v>32500</v>
      </c>
      <c r="N16" s="169">
        <v>24306</v>
      </c>
      <c r="O16" s="17">
        <f t="shared" si="60"/>
        <v>3610</v>
      </c>
      <c r="P16" s="14">
        <f t="shared" si="36"/>
        <v>3610</v>
      </c>
      <c r="Q16" s="17">
        <f t="shared" si="37"/>
        <v>2500</v>
      </c>
      <c r="R16" s="14">
        <f t="shared" si="38"/>
        <v>2500</v>
      </c>
      <c r="S16" s="14">
        <f t="shared" si="39"/>
        <v>2500</v>
      </c>
      <c r="T16" s="17">
        <f t="shared" si="40"/>
        <v>2030</v>
      </c>
      <c r="U16" s="14">
        <f t="shared" si="41"/>
        <v>2030</v>
      </c>
      <c r="V16" s="14">
        <f t="shared" si="42"/>
        <v>2030</v>
      </c>
      <c r="W16" s="17">
        <f t="shared" si="43"/>
        <v>1630</v>
      </c>
      <c r="X16" s="14">
        <f t="shared" si="44"/>
        <v>1630</v>
      </c>
      <c r="Y16" s="14">
        <f t="shared" si="45"/>
        <v>1630</v>
      </c>
      <c r="Z16" s="14">
        <f t="shared" si="46"/>
        <v>1630</v>
      </c>
      <c r="AA16" s="17">
        <f t="shared" si="47"/>
        <v>1350</v>
      </c>
      <c r="AB16" s="14">
        <f t="shared" si="48"/>
        <v>1350</v>
      </c>
      <c r="AC16" s="14">
        <f t="shared" si="49"/>
        <v>1350</v>
      </c>
      <c r="AD16" s="14">
        <f t="shared" si="50"/>
        <v>1350</v>
      </c>
      <c r="AE16" s="14">
        <f t="shared" si="51"/>
        <v>1350</v>
      </c>
      <c r="AF16" s="14">
        <f t="shared" si="52"/>
        <v>1350</v>
      </c>
      <c r="AG16" s="14">
        <f t="shared" si="53"/>
        <v>1350</v>
      </c>
      <c r="AH16" s="14">
        <f t="shared" si="54"/>
        <v>1350</v>
      </c>
      <c r="AI16" s="14">
        <f t="shared" si="55"/>
        <v>1350</v>
      </c>
      <c r="AJ16" s="14">
        <f t="shared" si="56"/>
        <v>1350</v>
      </c>
      <c r="AK16" s="14">
        <f t="shared" si="57"/>
        <v>1350</v>
      </c>
      <c r="AL16" s="14">
        <f t="shared" si="58"/>
        <v>1350</v>
      </c>
      <c r="AM16" s="14">
        <f t="shared" si="59"/>
        <v>1350</v>
      </c>
    </row>
    <row r="17" spans="1:39" x14ac:dyDescent="0.35">
      <c r="B17" s="1">
        <v>174</v>
      </c>
      <c r="C17" s="164" t="s">
        <v>23</v>
      </c>
      <c r="D17" s="2" t="s">
        <v>1</v>
      </c>
      <c r="E17" s="2"/>
      <c r="F17" s="2" t="s">
        <v>168</v>
      </c>
      <c r="G17" s="6">
        <v>8000</v>
      </c>
      <c r="H17" s="6">
        <v>16200</v>
      </c>
      <c r="I17" s="155">
        <v>16200</v>
      </c>
      <c r="J17" s="155">
        <v>16200</v>
      </c>
      <c r="K17" s="155">
        <v>16200</v>
      </c>
      <c r="L17" s="155">
        <v>16200</v>
      </c>
      <c r="M17" s="168">
        <v>16200</v>
      </c>
      <c r="N17" s="169">
        <v>14544</v>
      </c>
      <c r="O17" s="17">
        <f t="shared" si="60"/>
        <v>1800</v>
      </c>
      <c r="P17" s="14">
        <f t="shared" si="36"/>
        <v>1800</v>
      </c>
      <c r="Q17" s="17">
        <f t="shared" si="37"/>
        <v>1250</v>
      </c>
      <c r="R17" s="14">
        <f t="shared" si="38"/>
        <v>1250</v>
      </c>
      <c r="S17" s="14">
        <f t="shared" si="39"/>
        <v>1250</v>
      </c>
      <c r="T17" s="17">
        <f t="shared" si="40"/>
        <v>1010</v>
      </c>
      <c r="U17" s="14">
        <f t="shared" si="41"/>
        <v>1010</v>
      </c>
      <c r="V17" s="14">
        <f t="shared" si="42"/>
        <v>1010</v>
      </c>
      <c r="W17" s="17">
        <f t="shared" si="43"/>
        <v>810</v>
      </c>
      <c r="X17" s="14">
        <f t="shared" si="44"/>
        <v>810</v>
      </c>
      <c r="Y17" s="14">
        <f t="shared" si="45"/>
        <v>810</v>
      </c>
      <c r="Z17" s="14">
        <f t="shared" si="46"/>
        <v>810</v>
      </c>
      <c r="AA17" s="17">
        <f t="shared" si="47"/>
        <v>680</v>
      </c>
      <c r="AB17" s="14">
        <f t="shared" si="48"/>
        <v>680</v>
      </c>
      <c r="AC17" s="14">
        <f t="shared" si="49"/>
        <v>680</v>
      </c>
      <c r="AD17" s="14">
        <f t="shared" si="50"/>
        <v>680</v>
      </c>
      <c r="AE17" s="14">
        <f t="shared" si="51"/>
        <v>680</v>
      </c>
      <c r="AF17" s="14">
        <f t="shared" si="52"/>
        <v>680</v>
      </c>
      <c r="AG17" s="14">
        <f t="shared" si="53"/>
        <v>680</v>
      </c>
      <c r="AH17" s="14">
        <f t="shared" si="54"/>
        <v>680</v>
      </c>
      <c r="AI17" s="14">
        <f t="shared" si="55"/>
        <v>680</v>
      </c>
      <c r="AJ17" s="14">
        <f t="shared" si="56"/>
        <v>680</v>
      </c>
      <c r="AK17" s="14">
        <f t="shared" si="57"/>
        <v>680</v>
      </c>
      <c r="AL17" s="14">
        <f t="shared" si="58"/>
        <v>680</v>
      </c>
      <c r="AM17" s="14">
        <f t="shared" si="59"/>
        <v>680</v>
      </c>
    </row>
    <row r="18" spans="1:39" x14ac:dyDescent="0.35">
      <c r="B18" s="1">
        <v>175</v>
      </c>
      <c r="C18" s="164" t="s">
        <v>24</v>
      </c>
      <c r="D18" s="2" t="s">
        <v>1</v>
      </c>
      <c r="E18" s="2"/>
      <c r="F18" s="2" t="s">
        <v>168</v>
      </c>
      <c r="G18" s="6">
        <v>20000</v>
      </c>
      <c r="H18" s="6">
        <v>38500</v>
      </c>
      <c r="I18" s="155">
        <v>38500</v>
      </c>
      <c r="J18" s="155">
        <v>38500</v>
      </c>
      <c r="K18" s="155">
        <v>38500</v>
      </c>
      <c r="L18" s="155">
        <v>38500</v>
      </c>
      <c r="M18" s="168">
        <v>38500</v>
      </c>
      <c r="N18" s="169">
        <v>28550</v>
      </c>
      <c r="O18" s="17">
        <f t="shared" si="60"/>
        <v>4280</v>
      </c>
      <c r="P18" s="14">
        <f t="shared" si="36"/>
        <v>4280</v>
      </c>
      <c r="Q18" s="17">
        <f t="shared" si="37"/>
        <v>2960</v>
      </c>
      <c r="R18" s="14">
        <f t="shared" si="38"/>
        <v>2960</v>
      </c>
      <c r="S18" s="14">
        <f t="shared" si="39"/>
        <v>2960</v>
      </c>
      <c r="T18" s="17">
        <f t="shared" si="40"/>
        <v>2410</v>
      </c>
      <c r="U18" s="14">
        <f t="shared" si="41"/>
        <v>2410</v>
      </c>
      <c r="V18" s="14">
        <f t="shared" si="42"/>
        <v>2410</v>
      </c>
      <c r="W18" s="17">
        <f t="shared" si="43"/>
        <v>1930</v>
      </c>
      <c r="X18" s="14">
        <f t="shared" si="44"/>
        <v>1930</v>
      </c>
      <c r="Y18" s="14">
        <f t="shared" si="45"/>
        <v>1930</v>
      </c>
      <c r="Z18" s="14">
        <f t="shared" si="46"/>
        <v>1930</v>
      </c>
      <c r="AA18" s="17">
        <f t="shared" si="47"/>
        <v>1600</v>
      </c>
      <c r="AB18" s="14">
        <f t="shared" si="48"/>
        <v>1600</v>
      </c>
      <c r="AC18" s="14">
        <f t="shared" si="49"/>
        <v>1600</v>
      </c>
      <c r="AD18" s="14">
        <f t="shared" si="50"/>
        <v>1600</v>
      </c>
      <c r="AE18" s="14">
        <f t="shared" si="51"/>
        <v>1600</v>
      </c>
      <c r="AF18" s="14">
        <f t="shared" si="52"/>
        <v>1600</v>
      </c>
      <c r="AG18" s="14">
        <f t="shared" si="53"/>
        <v>1600</v>
      </c>
      <c r="AH18" s="14">
        <f t="shared" si="54"/>
        <v>1600</v>
      </c>
      <c r="AI18" s="14">
        <f t="shared" si="55"/>
        <v>1600</v>
      </c>
      <c r="AJ18" s="14">
        <f t="shared" si="56"/>
        <v>1600</v>
      </c>
      <c r="AK18" s="14">
        <f t="shared" si="57"/>
        <v>1600</v>
      </c>
      <c r="AL18" s="14">
        <f t="shared" si="58"/>
        <v>1600</v>
      </c>
      <c r="AM18" s="14">
        <f t="shared" si="59"/>
        <v>1600</v>
      </c>
    </row>
    <row r="19" spans="1:39" x14ac:dyDescent="0.35">
      <c r="B19" s="1">
        <v>177</v>
      </c>
      <c r="C19" s="164" t="s">
        <v>25</v>
      </c>
      <c r="D19" s="2" t="s">
        <v>1</v>
      </c>
      <c r="E19" s="2"/>
      <c r="F19" s="2" t="s">
        <v>168</v>
      </c>
      <c r="G19" s="6">
        <v>11500</v>
      </c>
      <c r="H19" s="6">
        <v>34800</v>
      </c>
      <c r="I19" s="155">
        <v>34800</v>
      </c>
      <c r="J19" s="155">
        <v>34800</v>
      </c>
      <c r="K19" s="155">
        <v>34800</v>
      </c>
      <c r="L19" s="155">
        <v>34800</v>
      </c>
      <c r="M19" s="168">
        <v>34800</v>
      </c>
      <c r="N19" s="169">
        <v>23110</v>
      </c>
      <c r="O19" s="17">
        <f t="shared" si="60"/>
        <v>3870</v>
      </c>
      <c r="P19" s="14">
        <f t="shared" si="36"/>
        <v>3870</v>
      </c>
      <c r="Q19" s="17">
        <f t="shared" si="37"/>
        <v>2680</v>
      </c>
      <c r="R19" s="14">
        <f t="shared" si="38"/>
        <v>2680</v>
      </c>
      <c r="S19" s="14">
        <f t="shared" si="39"/>
        <v>2680</v>
      </c>
      <c r="T19" s="17">
        <f t="shared" si="40"/>
        <v>2180</v>
      </c>
      <c r="U19" s="14">
        <f t="shared" si="41"/>
        <v>2180</v>
      </c>
      <c r="V19" s="14">
        <f t="shared" si="42"/>
        <v>2180</v>
      </c>
      <c r="W19" s="17">
        <f t="shared" si="43"/>
        <v>1740</v>
      </c>
      <c r="X19" s="14">
        <f t="shared" si="44"/>
        <v>1740</v>
      </c>
      <c r="Y19" s="14">
        <f t="shared" si="45"/>
        <v>1740</v>
      </c>
      <c r="Z19" s="14">
        <f t="shared" si="46"/>
        <v>1740</v>
      </c>
      <c r="AA19" s="17">
        <f t="shared" si="47"/>
        <v>1450</v>
      </c>
      <c r="AB19" s="14">
        <f t="shared" si="48"/>
        <v>1450</v>
      </c>
      <c r="AC19" s="14">
        <f t="shared" si="49"/>
        <v>1450</v>
      </c>
      <c r="AD19" s="14">
        <f t="shared" si="50"/>
        <v>1450</v>
      </c>
      <c r="AE19" s="14">
        <f t="shared" si="51"/>
        <v>1450</v>
      </c>
      <c r="AF19" s="14">
        <f t="shared" si="52"/>
        <v>1450</v>
      </c>
      <c r="AG19" s="14">
        <f t="shared" si="53"/>
        <v>1450</v>
      </c>
      <c r="AH19" s="14">
        <f t="shared" si="54"/>
        <v>1450</v>
      </c>
      <c r="AI19" s="14">
        <f t="shared" si="55"/>
        <v>1450</v>
      </c>
      <c r="AJ19" s="14">
        <f t="shared" si="56"/>
        <v>1450</v>
      </c>
      <c r="AK19" s="14">
        <f t="shared" si="57"/>
        <v>1450</v>
      </c>
      <c r="AL19" s="14">
        <f t="shared" si="58"/>
        <v>1450</v>
      </c>
      <c r="AM19" s="14">
        <f t="shared" si="59"/>
        <v>1450</v>
      </c>
    </row>
    <row r="20" spans="1:39" x14ac:dyDescent="0.35">
      <c r="B20" s="1">
        <v>176</v>
      </c>
      <c r="C20" s="164" t="s">
        <v>26</v>
      </c>
      <c r="D20" s="2" t="s">
        <v>1</v>
      </c>
      <c r="E20" s="2"/>
      <c r="F20" s="2" t="s">
        <v>168</v>
      </c>
      <c r="G20" s="6">
        <v>32000</v>
      </c>
      <c r="H20" s="6">
        <v>57000</v>
      </c>
      <c r="I20" s="155">
        <v>57000</v>
      </c>
      <c r="J20" s="155">
        <v>57000</v>
      </c>
      <c r="K20" s="155">
        <v>57000</v>
      </c>
      <c r="L20" s="155">
        <v>68000</v>
      </c>
      <c r="M20" s="168">
        <v>68000</v>
      </c>
      <c r="N20" s="169">
        <v>49800</v>
      </c>
      <c r="O20" s="17">
        <f t="shared" si="60"/>
        <v>7560</v>
      </c>
      <c r="P20" s="14">
        <f t="shared" si="36"/>
        <v>7560</v>
      </c>
      <c r="Q20" s="17">
        <f t="shared" si="37"/>
        <v>5230</v>
      </c>
      <c r="R20" s="14">
        <f t="shared" si="38"/>
        <v>5230</v>
      </c>
      <c r="S20" s="14">
        <f t="shared" si="39"/>
        <v>5230</v>
      </c>
      <c r="T20" s="17">
        <f t="shared" si="40"/>
        <v>4250</v>
      </c>
      <c r="U20" s="14">
        <f t="shared" si="41"/>
        <v>4250</v>
      </c>
      <c r="V20" s="14">
        <f t="shared" si="42"/>
        <v>4250</v>
      </c>
      <c r="W20" s="17">
        <f t="shared" si="43"/>
        <v>3400</v>
      </c>
      <c r="X20" s="14">
        <f t="shared" si="44"/>
        <v>3400</v>
      </c>
      <c r="Y20" s="14">
        <f t="shared" si="45"/>
        <v>3400</v>
      </c>
      <c r="Z20" s="14">
        <f t="shared" si="46"/>
        <v>3400</v>
      </c>
      <c r="AA20" s="17">
        <f t="shared" si="47"/>
        <v>2830</v>
      </c>
      <c r="AB20" s="14">
        <f t="shared" si="48"/>
        <v>2830</v>
      </c>
      <c r="AC20" s="14">
        <f t="shared" si="49"/>
        <v>2830</v>
      </c>
      <c r="AD20" s="14">
        <f t="shared" si="50"/>
        <v>2830</v>
      </c>
      <c r="AE20" s="14">
        <f t="shared" si="51"/>
        <v>2830</v>
      </c>
      <c r="AF20" s="14">
        <f t="shared" si="52"/>
        <v>2830</v>
      </c>
      <c r="AG20" s="14">
        <f t="shared" si="53"/>
        <v>2830</v>
      </c>
      <c r="AH20" s="14">
        <f t="shared" si="54"/>
        <v>2830</v>
      </c>
      <c r="AI20" s="14">
        <f t="shared" si="55"/>
        <v>2830</v>
      </c>
      <c r="AJ20" s="14">
        <f t="shared" si="56"/>
        <v>2830</v>
      </c>
      <c r="AK20" s="14">
        <f t="shared" si="57"/>
        <v>2830</v>
      </c>
      <c r="AL20" s="14">
        <f t="shared" si="58"/>
        <v>2830</v>
      </c>
      <c r="AM20" s="14">
        <f t="shared" si="59"/>
        <v>2830</v>
      </c>
    </row>
    <row r="21" spans="1:39" x14ac:dyDescent="0.35">
      <c r="B21" s="1">
        <v>167</v>
      </c>
      <c r="C21" s="2" t="s">
        <v>27</v>
      </c>
      <c r="D21" s="2" t="s">
        <v>1</v>
      </c>
      <c r="E21" s="2" t="s">
        <v>28</v>
      </c>
      <c r="F21" s="2" t="s">
        <v>168</v>
      </c>
      <c r="L21" s="5"/>
      <c r="M21" s="5"/>
      <c r="N21" s="170"/>
      <c r="O21" s="16"/>
      <c r="P21" s="14"/>
      <c r="Q21" s="16"/>
      <c r="R21" s="14"/>
      <c r="S21" s="14"/>
      <c r="T21" s="16"/>
      <c r="U21" s="14"/>
      <c r="V21" s="14"/>
      <c r="W21" s="16"/>
      <c r="X21" s="14"/>
      <c r="Y21" s="14"/>
      <c r="Z21" s="14"/>
      <c r="AA21" s="16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</row>
    <row r="22" spans="1:39" x14ac:dyDescent="0.35">
      <c r="B22" s="1">
        <v>168</v>
      </c>
      <c r="C22" s="2" t="s">
        <v>29</v>
      </c>
      <c r="D22" s="2" t="s">
        <v>1</v>
      </c>
      <c r="E22" s="2" t="s">
        <v>30</v>
      </c>
      <c r="F22" s="2" t="s">
        <v>168</v>
      </c>
      <c r="L22" s="5"/>
      <c r="M22" s="5"/>
      <c r="N22" s="170"/>
      <c r="O22" s="16"/>
      <c r="P22" s="14"/>
      <c r="Q22" s="16"/>
      <c r="R22" s="14"/>
      <c r="S22" s="14"/>
      <c r="T22" s="16"/>
      <c r="U22" s="14"/>
      <c r="V22" s="14"/>
      <c r="W22" s="16"/>
      <c r="X22" s="14"/>
      <c r="Y22" s="14"/>
      <c r="Z22" s="14"/>
      <c r="AA22" s="16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</row>
    <row r="23" spans="1:39" x14ac:dyDescent="0.35">
      <c r="B23" s="1">
        <v>133</v>
      </c>
      <c r="C23" s="2" t="s">
        <v>31</v>
      </c>
      <c r="D23" s="2" t="s">
        <v>1</v>
      </c>
      <c r="E23" s="2" t="s">
        <v>32</v>
      </c>
      <c r="F23" s="2" t="s">
        <v>168</v>
      </c>
      <c r="L23" s="5"/>
      <c r="M23" s="5"/>
      <c r="N23" s="170"/>
      <c r="O23" s="16"/>
      <c r="P23" s="14"/>
      <c r="Q23" s="16"/>
      <c r="R23" s="14"/>
      <c r="S23" s="14"/>
      <c r="T23" s="16"/>
      <c r="U23" s="14"/>
      <c r="V23" s="14"/>
      <c r="W23" s="16"/>
      <c r="X23" s="14"/>
      <c r="Y23" s="14"/>
      <c r="Z23" s="14"/>
      <c r="AA23" s="16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</row>
    <row r="24" spans="1:39" x14ac:dyDescent="0.35">
      <c r="B24" s="1">
        <v>231</v>
      </c>
      <c r="C24" s="164" t="s">
        <v>33</v>
      </c>
      <c r="D24" s="2" t="s">
        <v>1</v>
      </c>
      <c r="E24" s="2"/>
      <c r="F24" s="2" t="s">
        <v>168</v>
      </c>
      <c r="G24" s="6">
        <v>25000</v>
      </c>
      <c r="H24" s="6">
        <v>30000</v>
      </c>
      <c r="I24" s="155">
        <v>30000</v>
      </c>
      <c r="J24" s="155">
        <v>30000</v>
      </c>
      <c r="K24" s="155">
        <v>30000</v>
      </c>
      <c r="L24" s="155">
        <v>35000</v>
      </c>
      <c r="M24" s="155">
        <v>35000</v>
      </c>
      <c r="N24" s="169">
        <v>17091</v>
      </c>
      <c r="O24" s="17">
        <f>ROUND(M24/9,-1)</f>
        <v>3890</v>
      </c>
      <c r="P24" s="14">
        <f>O24</f>
        <v>3890</v>
      </c>
      <c r="Q24" s="17">
        <f>ROUND(M24/13,-1)</f>
        <v>2690</v>
      </c>
      <c r="R24" s="14">
        <f>Q24</f>
        <v>2690</v>
      </c>
      <c r="S24" s="14">
        <f>Q24</f>
        <v>2690</v>
      </c>
      <c r="T24" s="17">
        <f>ROUND(M24/16,-1)</f>
        <v>2190</v>
      </c>
      <c r="U24" s="14">
        <f>T24</f>
        <v>2190</v>
      </c>
      <c r="V24" s="14">
        <f>T24</f>
        <v>2190</v>
      </c>
      <c r="W24" s="17">
        <f>ROUND(M24/20,-1)</f>
        <v>1750</v>
      </c>
      <c r="X24" s="14">
        <f>W24</f>
        <v>1750</v>
      </c>
      <c r="Y24" s="14">
        <f>W24</f>
        <v>1750</v>
      </c>
      <c r="Z24" s="14">
        <f>W24</f>
        <v>1750</v>
      </c>
      <c r="AA24" s="17">
        <f>ROUND(M24/24,-1)</f>
        <v>1460</v>
      </c>
      <c r="AB24" s="14">
        <f>AA24</f>
        <v>1460</v>
      </c>
      <c r="AC24" s="14">
        <f t="shared" ref="AC24" si="61">AB24</f>
        <v>1460</v>
      </c>
      <c r="AD24" s="14">
        <f t="shared" ref="AD24" si="62">AC24</f>
        <v>1460</v>
      </c>
      <c r="AE24" s="14">
        <f t="shared" ref="AE24" si="63">AD24</f>
        <v>1460</v>
      </c>
      <c r="AF24" s="14">
        <f t="shared" ref="AF24" si="64">AE24</f>
        <v>1460</v>
      </c>
      <c r="AG24" s="14">
        <f t="shared" ref="AG24" si="65">AF24</f>
        <v>1460</v>
      </c>
      <c r="AH24" s="14">
        <f t="shared" ref="AH24" si="66">AG24</f>
        <v>1460</v>
      </c>
      <c r="AI24" s="14">
        <f t="shared" ref="AI24" si="67">AH24</f>
        <v>1460</v>
      </c>
      <c r="AJ24" s="14">
        <f t="shared" ref="AJ24" si="68">AI24</f>
        <v>1460</v>
      </c>
      <c r="AK24" s="14">
        <f t="shared" ref="AK24" si="69">AJ24</f>
        <v>1460</v>
      </c>
      <c r="AL24" s="14">
        <f t="shared" ref="AL24" si="70">AK24</f>
        <v>1460</v>
      </c>
      <c r="AM24" s="14">
        <f t="shared" ref="AM24" si="71">AL24</f>
        <v>1460</v>
      </c>
    </row>
    <row r="25" spans="1:39" x14ac:dyDescent="0.35">
      <c r="B25" s="1">
        <v>163</v>
      </c>
      <c r="C25" s="2" t="s">
        <v>34</v>
      </c>
      <c r="D25" s="2" t="s">
        <v>1</v>
      </c>
      <c r="E25" s="2" t="s">
        <v>35</v>
      </c>
      <c r="F25" s="2" t="s">
        <v>168</v>
      </c>
      <c r="L25" s="5"/>
      <c r="M25" s="5"/>
      <c r="N25" s="170"/>
      <c r="O25" s="16"/>
      <c r="P25" s="14"/>
      <c r="Q25" s="16"/>
      <c r="R25" s="14"/>
      <c r="S25" s="14"/>
      <c r="T25" s="16"/>
      <c r="U25" s="14"/>
      <c r="V25" s="14"/>
      <c r="W25" s="17">
        <f>ROUND(M25/20,-1)</f>
        <v>0</v>
      </c>
      <c r="X25" s="14"/>
      <c r="Y25" s="14"/>
      <c r="Z25" s="14"/>
      <c r="AA25" s="17">
        <f>ROUND(M25/24,-1)</f>
        <v>0</v>
      </c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</row>
    <row r="26" spans="1:39" ht="20" x14ac:dyDescent="0.35">
      <c r="B26" s="1">
        <v>223</v>
      </c>
      <c r="C26" s="112" t="s">
        <v>335</v>
      </c>
      <c r="D26" s="2" t="s">
        <v>1</v>
      </c>
      <c r="E26" s="2" t="s">
        <v>10</v>
      </c>
      <c r="F26" s="2" t="s">
        <v>168</v>
      </c>
      <c r="G26" s="6">
        <v>9500</v>
      </c>
      <c r="H26" s="6">
        <v>9500</v>
      </c>
      <c r="I26" s="6">
        <v>9500</v>
      </c>
      <c r="J26" s="6">
        <v>9500</v>
      </c>
      <c r="K26" s="6">
        <v>9500</v>
      </c>
      <c r="M26" s="6">
        <v>35200</v>
      </c>
      <c r="N26" s="169">
        <v>29333</v>
      </c>
      <c r="O26" s="17">
        <f>ROUND(M26/9,-1)</f>
        <v>3910</v>
      </c>
      <c r="P26" s="17">
        <f>ROUND(N26/9,-1)</f>
        <v>3260</v>
      </c>
      <c r="Q26" s="14">
        <f>P26</f>
        <v>3260</v>
      </c>
      <c r="R26" s="14">
        <f>P26</f>
        <v>3260</v>
      </c>
      <c r="S26" s="17">
        <f>ROUND(M26/16,-1)</f>
        <v>2200</v>
      </c>
      <c r="T26" s="14">
        <f>S26</f>
        <v>2200</v>
      </c>
      <c r="U26" s="14">
        <f>S26</f>
        <v>2200</v>
      </c>
      <c r="V26" s="17">
        <f>ROUND(M26/20,-1)</f>
        <v>1760</v>
      </c>
      <c r="W26" s="14">
        <f>V26</f>
        <v>1760</v>
      </c>
      <c r="X26" s="14">
        <f>V26</f>
        <v>1760</v>
      </c>
      <c r="Y26" s="14">
        <f>V26</f>
        <v>1760</v>
      </c>
      <c r="Z26" s="17">
        <f>ROUND(M26/24,-1)</f>
        <v>1470</v>
      </c>
      <c r="AA26" s="14">
        <f>Z26</f>
        <v>1470</v>
      </c>
      <c r="AB26" s="14">
        <f t="shared" ref="AB26:AL26" si="72">AA26</f>
        <v>1470</v>
      </c>
      <c r="AC26" s="14">
        <f t="shared" si="72"/>
        <v>1470</v>
      </c>
      <c r="AD26" s="14">
        <f t="shared" si="72"/>
        <v>1470</v>
      </c>
      <c r="AE26" s="14">
        <f t="shared" si="72"/>
        <v>1470</v>
      </c>
      <c r="AF26" s="14">
        <f t="shared" si="72"/>
        <v>1470</v>
      </c>
      <c r="AG26" s="14">
        <f t="shared" si="72"/>
        <v>1470</v>
      </c>
      <c r="AH26" s="14">
        <f t="shared" si="72"/>
        <v>1470</v>
      </c>
      <c r="AI26" s="14">
        <f t="shared" si="72"/>
        <v>1470</v>
      </c>
      <c r="AJ26" s="14">
        <f t="shared" si="72"/>
        <v>1470</v>
      </c>
      <c r="AK26" s="14">
        <f t="shared" si="72"/>
        <v>1470</v>
      </c>
      <c r="AL26" s="14">
        <f t="shared" si="72"/>
        <v>1470</v>
      </c>
      <c r="AM26" s="5"/>
    </row>
    <row r="27" spans="1:39" x14ac:dyDescent="0.35">
      <c r="A27" t="s">
        <v>178</v>
      </c>
      <c r="B27" s="1">
        <v>129</v>
      </c>
      <c r="C27" s="2" t="s">
        <v>36</v>
      </c>
      <c r="D27" s="2" t="s">
        <v>1</v>
      </c>
      <c r="E27" s="2" t="s">
        <v>37</v>
      </c>
      <c r="F27" s="2" t="s">
        <v>168</v>
      </c>
      <c r="L27" s="5"/>
      <c r="M27" s="5"/>
      <c r="N27" s="170"/>
      <c r="O27" s="17"/>
      <c r="P27" s="14"/>
      <c r="Q27" s="16"/>
      <c r="R27" s="14">
        <f t="shared" ref="R27:R30" si="73">P27</f>
        <v>0</v>
      </c>
      <c r="S27" s="17">
        <f t="shared" ref="S27:S30" si="74">ROUND(M27/16,-1)</f>
        <v>0</v>
      </c>
      <c r="T27" s="14">
        <f t="shared" ref="T27:T30" si="75">S27</f>
        <v>0</v>
      </c>
      <c r="U27" s="14">
        <f t="shared" ref="U27:U30" si="76">S27</f>
        <v>0</v>
      </c>
      <c r="V27" s="17">
        <f t="shared" ref="V27:V30" si="77">ROUND(M27/20,-1)</f>
        <v>0</v>
      </c>
      <c r="W27" s="14">
        <f t="shared" ref="W27:W30" si="78">V27</f>
        <v>0</v>
      </c>
      <c r="X27" s="14">
        <f t="shared" ref="X27:X30" si="79">V27</f>
        <v>0</v>
      </c>
      <c r="Y27" s="14">
        <f t="shared" ref="Y27:Y30" si="80">V27</f>
        <v>0</v>
      </c>
      <c r="Z27" s="17">
        <f t="shared" ref="Z27:Z30" si="81">ROUND(M27/24,-1)</f>
        <v>0</v>
      </c>
      <c r="AA27" s="14">
        <f t="shared" ref="AA27:AA30" si="82">Z27</f>
        <v>0</v>
      </c>
      <c r="AB27" s="14">
        <f t="shared" ref="AB27:AB30" si="83">AA27</f>
        <v>0</v>
      </c>
      <c r="AC27" s="14">
        <f t="shared" ref="AC27:AC30" si="84">AB27</f>
        <v>0</v>
      </c>
      <c r="AD27" s="14">
        <f t="shared" ref="AD27:AD30" si="85">AC27</f>
        <v>0</v>
      </c>
      <c r="AE27" s="14">
        <f t="shared" ref="AE27:AE30" si="86">AD27</f>
        <v>0</v>
      </c>
      <c r="AF27" s="14">
        <f t="shared" ref="AF27:AF30" si="87">AE27</f>
        <v>0</v>
      </c>
      <c r="AG27" s="14">
        <f t="shared" ref="AG27:AG30" si="88">AF27</f>
        <v>0</v>
      </c>
      <c r="AH27" s="14">
        <f t="shared" ref="AH27:AH30" si="89">AG27</f>
        <v>0</v>
      </c>
      <c r="AI27" s="14">
        <f t="shared" ref="AI27:AI30" si="90">AH27</f>
        <v>0</v>
      </c>
      <c r="AJ27" s="14">
        <f t="shared" ref="AJ27:AJ30" si="91">AI27</f>
        <v>0</v>
      </c>
      <c r="AK27" s="14">
        <f t="shared" ref="AK27:AK30" si="92">AJ27</f>
        <v>0</v>
      </c>
      <c r="AL27" s="14">
        <f t="shared" ref="AL27:AL30" si="93">AK27</f>
        <v>0</v>
      </c>
      <c r="AM27" s="5"/>
    </row>
    <row r="28" spans="1:39" x14ac:dyDescent="0.35">
      <c r="B28" s="1">
        <v>107</v>
      </c>
      <c r="C28" s="2" t="s">
        <v>38</v>
      </c>
      <c r="D28" s="2" t="s">
        <v>1</v>
      </c>
      <c r="E28" s="2" t="s">
        <v>39</v>
      </c>
      <c r="F28" s="2" t="s">
        <v>168</v>
      </c>
      <c r="L28" s="5"/>
      <c r="M28" s="5"/>
      <c r="N28" s="170"/>
      <c r="O28" s="17"/>
      <c r="P28" s="14"/>
      <c r="Q28" s="16"/>
      <c r="R28" s="14">
        <f t="shared" si="73"/>
        <v>0</v>
      </c>
      <c r="S28" s="17">
        <f t="shared" si="74"/>
        <v>0</v>
      </c>
      <c r="T28" s="14">
        <f t="shared" si="75"/>
        <v>0</v>
      </c>
      <c r="U28" s="14">
        <f t="shared" si="76"/>
        <v>0</v>
      </c>
      <c r="V28" s="17">
        <f t="shared" si="77"/>
        <v>0</v>
      </c>
      <c r="W28" s="14">
        <f t="shared" si="78"/>
        <v>0</v>
      </c>
      <c r="X28" s="14">
        <f t="shared" si="79"/>
        <v>0</v>
      </c>
      <c r="Y28" s="14">
        <f t="shared" si="80"/>
        <v>0</v>
      </c>
      <c r="Z28" s="17">
        <f t="shared" si="81"/>
        <v>0</v>
      </c>
      <c r="AA28" s="14">
        <f t="shared" si="82"/>
        <v>0</v>
      </c>
      <c r="AB28" s="14">
        <f t="shared" si="83"/>
        <v>0</v>
      </c>
      <c r="AC28" s="14">
        <f t="shared" si="84"/>
        <v>0</v>
      </c>
      <c r="AD28" s="14">
        <f t="shared" si="85"/>
        <v>0</v>
      </c>
      <c r="AE28" s="14">
        <f t="shared" si="86"/>
        <v>0</v>
      </c>
      <c r="AF28" s="14">
        <f t="shared" si="87"/>
        <v>0</v>
      </c>
      <c r="AG28" s="14">
        <f t="shared" si="88"/>
        <v>0</v>
      </c>
      <c r="AH28" s="14">
        <f t="shared" si="89"/>
        <v>0</v>
      </c>
      <c r="AI28" s="14">
        <f t="shared" si="90"/>
        <v>0</v>
      </c>
      <c r="AJ28" s="14">
        <f t="shared" si="91"/>
        <v>0</v>
      </c>
      <c r="AK28" s="14">
        <f t="shared" si="92"/>
        <v>0</v>
      </c>
      <c r="AL28" s="14">
        <f t="shared" si="93"/>
        <v>0</v>
      </c>
      <c r="AM28" s="5"/>
    </row>
    <row r="29" spans="1:39" x14ac:dyDescent="0.35">
      <c r="B29" s="1">
        <v>120</v>
      </c>
      <c r="C29" s="2" t="s">
        <v>40</v>
      </c>
      <c r="D29" s="2" t="s">
        <v>1</v>
      </c>
      <c r="E29" s="2" t="s">
        <v>41</v>
      </c>
      <c r="F29" s="2" t="s">
        <v>168</v>
      </c>
      <c r="L29" s="5"/>
      <c r="M29" s="5"/>
      <c r="N29" s="170"/>
      <c r="O29" s="17"/>
      <c r="P29" s="14"/>
      <c r="Q29" s="16"/>
      <c r="R29" s="14">
        <f t="shared" si="73"/>
        <v>0</v>
      </c>
      <c r="S29" s="17">
        <f t="shared" si="74"/>
        <v>0</v>
      </c>
      <c r="T29" s="14">
        <f t="shared" si="75"/>
        <v>0</v>
      </c>
      <c r="U29" s="14">
        <f t="shared" si="76"/>
        <v>0</v>
      </c>
      <c r="V29" s="17">
        <f t="shared" si="77"/>
        <v>0</v>
      </c>
      <c r="W29" s="14">
        <f t="shared" si="78"/>
        <v>0</v>
      </c>
      <c r="X29" s="14">
        <f t="shared" si="79"/>
        <v>0</v>
      </c>
      <c r="Y29" s="14">
        <f t="shared" si="80"/>
        <v>0</v>
      </c>
      <c r="Z29" s="17">
        <f t="shared" si="81"/>
        <v>0</v>
      </c>
      <c r="AA29" s="14">
        <f t="shared" si="82"/>
        <v>0</v>
      </c>
      <c r="AB29" s="14">
        <f t="shared" si="83"/>
        <v>0</v>
      </c>
      <c r="AC29" s="14">
        <f t="shared" si="84"/>
        <v>0</v>
      </c>
      <c r="AD29" s="14">
        <f t="shared" si="85"/>
        <v>0</v>
      </c>
      <c r="AE29" s="14">
        <f t="shared" si="86"/>
        <v>0</v>
      </c>
      <c r="AF29" s="14">
        <f t="shared" si="87"/>
        <v>0</v>
      </c>
      <c r="AG29" s="14">
        <f t="shared" si="88"/>
        <v>0</v>
      </c>
      <c r="AH29" s="14">
        <f t="shared" si="89"/>
        <v>0</v>
      </c>
      <c r="AI29" s="14">
        <f t="shared" si="90"/>
        <v>0</v>
      </c>
      <c r="AJ29" s="14">
        <f t="shared" si="91"/>
        <v>0</v>
      </c>
      <c r="AK29" s="14">
        <f t="shared" si="92"/>
        <v>0</v>
      </c>
      <c r="AL29" s="14">
        <f t="shared" si="93"/>
        <v>0</v>
      </c>
      <c r="AM29" s="5"/>
    </row>
    <row r="30" spans="1:39" x14ac:dyDescent="0.35">
      <c r="A30" s="161">
        <v>44470</v>
      </c>
      <c r="B30" s="7">
        <v>230</v>
      </c>
      <c r="C30" s="2" t="s">
        <v>338</v>
      </c>
      <c r="D30" s="2" t="s">
        <v>1</v>
      </c>
      <c r="E30" s="2"/>
      <c r="F30" s="2" t="s">
        <v>168</v>
      </c>
      <c r="G30" s="6">
        <v>7500</v>
      </c>
      <c r="H30" s="6">
        <v>7500</v>
      </c>
      <c r="I30" s="6">
        <v>7500</v>
      </c>
      <c r="J30" s="6">
        <v>7500</v>
      </c>
      <c r="K30" s="6">
        <v>9000</v>
      </c>
      <c r="L30" s="160"/>
      <c r="M30" s="155">
        <f>N30*1.2</f>
        <v>11880</v>
      </c>
      <c r="N30" s="169">
        <v>9900</v>
      </c>
      <c r="O30" s="17">
        <f t="shared" ref="O30" si="94">ROUND(M30/9,-1)</f>
        <v>1320</v>
      </c>
      <c r="P30" s="17">
        <f>O30</f>
        <v>1320</v>
      </c>
      <c r="Q30" s="17">
        <f>P30</f>
        <v>1320</v>
      </c>
      <c r="R30" s="14">
        <f t="shared" si="73"/>
        <v>1320</v>
      </c>
      <c r="S30" s="17">
        <f t="shared" si="74"/>
        <v>740</v>
      </c>
      <c r="T30" s="14">
        <f t="shared" si="75"/>
        <v>740</v>
      </c>
      <c r="U30" s="14">
        <f t="shared" si="76"/>
        <v>740</v>
      </c>
      <c r="V30" s="17">
        <f t="shared" si="77"/>
        <v>590</v>
      </c>
      <c r="W30" s="14">
        <f t="shared" si="78"/>
        <v>590</v>
      </c>
      <c r="X30" s="14">
        <f t="shared" si="79"/>
        <v>590</v>
      </c>
      <c r="Y30" s="14">
        <f t="shared" si="80"/>
        <v>590</v>
      </c>
      <c r="Z30" s="17">
        <f t="shared" si="81"/>
        <v>500</v>
      </c>
      <c r="AA30" s="14">
        <f t="shared" si="82"/>
        <v>500</v>
      </c>
      <c r="AB30" s="14">
        <f t="shared" si="83"/>
        <v>500</v>
      </c>
      <c r="AC30" s="14">
        <f t="shared" si="84"/>
        <v>500</v>
      </c>
      <c r="AD30" s="14">
        <f t="shared" si="85"/>
        <v>500</v>
      </c>
      <c r="AE30" s="14">
        <f t="shared" si="86"/>
        <v>500</v>
      </c>
      <c r="AF30" s="14">
        <f t="shared" si="87"/>
        <v>500</v>
      </c>
      <c r="AG30" s="14">
        <f t="shared" si="88"/>
        <v>500</v>
      </c>
      <c r="AH30" s="14">
        <f t="shared" si="89"/>
        <v>500</v>
      </c>
      <c r="AI30" s="14">
        <f t="shared" si="90"/>
        <v>500</v>
      </c>
      <c r="AJ30" s="14">
        <f t="shared" si="91"/>
        <v>500</v>
      </c>
      <c r="AK30" s="14">
        <f t="shared" si="92"/>
        <v>500</v>
      </c>
      <c r="AL30" s="14">
        <f t="shared" si="93"/>
        <v>500</v>
      </c>
      <c r="AM30" s="5"/>
    </row>
    <row r="31" spans="1:39" x14ac:dyDescent="0.35">
      <c r="B31" s="1">
        <v>118</v>
      </c>
      <c r="C31" s="178" t="s">
        <v>42</v>
      </c>
      <c r="D31" s="2" t="s">
        <v>13</v>
      </c>
      <c r="E31" s="2" t="s">
        <v>43</v>
      </c>
      <c r="F31" s="2" t="s">
        <v>169</v>
      </c>
      <c r="G31" s="6">
        <v>2700</v>
      </c>
      <c r="H31" s="6">
        <v>500</v>
      </c>
      <c r="I31" s="6">
        <v>2700</v>
      </c>
      <c r="J31" s="6">
        <v>3375</v>
      </c>
      <c r="K31" s="155">
        <v>3375</v>
      </c>
      <c r="L31" s="5"/>
      <c r="M31" s="5"/>
      <c r="N31" s="170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5"/>
    </row>
    <row r="32" spans="1:39" x14ac:dyDescent="0.35">
      <c r="A32" t="s">
        <v>178</v>
      </c>
      <c r="B32" s="1">
        <v>108</v>
      </c>
      <c r="C32" s="2" t="s">
        <v>44</v>
      </c>
      <c r="D32" s="4" t="s">
        <v>166</v>
      </c>
      <c r="E32" s="2" t="s">
        <v>45</v>
      </c>
      <c r="F32" s="2" t="s">
        <v>168</v>
      </c>
      <c r="L32" s="5"/>
      <c r="M32" s="5"/>
      <c r="N32" s="170"/>
      <c r="O32" s="16"/>
      <c r="P32" s="14"/>
      <c r="Q32" s="16"/>
      <c r="R32" s="14"/>
      <c r="S32" s="14"/>
      <c r="T32" s="16"/>
      <c r="U32" s="14"/>
      <c r="V32" s="14"/>
      <c r="W32" s="16"/>
      <c r="X32" s="14"/>
      <c r="Y32" s="14"/>
      <c r="Z32" s="14"/>
      <c r="AA32" s="16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spans="1:39" x14ac:dyDescent="0.35">
      <c r="B33" s="11">
        <v>225</v>
      </c>
      <c r="C33" s="178" t="s">
        <v>46</v>
      </c>
      <c r="D33" s="12" t="s">
        <v>13</v>
      </c>
      <c r="E33" s="12" t="s">
        <v>47</v>
      </c>
      <c r="F33" s="12" t="s">
        <v>168</v>
      </c>
      <c r="G33" s="6">
        <v>6000</v>
      </c>
      <c r="H33" s="6">
        <v>4800</v>
      </c>
      <c r="I33" s="155">
        <v>4800</v>
      </c>
      <c r="J33" s="155">
        <v>6000</v>
      </c>
      <c r="K33" s="155">
        <f>I33*1.25</f>
        <v>6000</v>
      </c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</row>
    <row r="34" spans="1:39" x14ac:dyDescent="0.35">
      <c r="B34" s="9">
        <v>18</v>
      </c>
      <c r="C34" s="164" t="s">
        <v>48</v>
      </c>
      <c r="D34" s="2" t="s">
        <v>1</v>
      </c>
      <c r="E34" s="2" t="s">
        <v>49</v>
      </c>
      <c r="F34" s="2" t="s">
        <v>168</v>
      </c>
      <c r="G34" s="6">
        <v>4000</v>
      </c>
      <c r="H34" s="6">
        <v>5000</v>
      </c>
      <c r="I34" s="155">
        <v>5000</v>
      </c>
      <c r="J34" s="155">
        <v>5000</v>
      </c>
      <c r="K34" s="155">
        <v>5000</v>
      </c>
      <c r="L34" s="165">
        <v>12000</v>
      </c>
      <c r="M34" s="165">
        <v>12000</v>
      </c>
      <c r="N34" s="169">
        <v>8750</v>
      </c>
      <c r="O34" s="17">
        <f>ROUND(M34/9,-1)</f>
        <v>1330</v>
      </c>
      <c r="P34" s="14">
        <f t="shared" ref="P34:P42" si="95">O34</f>
        <v>1330</v>
      </c>
      <c r="Q34" s="17">
        <f>ROUND(M34/13,-1)</f>
        <v>920</v>
      </c>
      <c r="R34" s="14">
        <f t="shared" ref="R34:R35" si="96">Q34</f>
        <v>920</v>
      </c>
      <c r="S34" s="14">
        <f t="shared" ref="S34:S35" si="97">Q34</f>
        <v>920</v>
      </c>
      <c r="T34" s="17">
        <f>ROUND(M34/16,-1)</f>
        <v>750</v>
      </c>
      <c r="U34" s="14">
        <f t="shared" ref="U34:U35" si="98">T34</f>
        <v>750</v>
      </c>
      <c r="V34" s="14">
        <f t="shared" ref="V34:V35" si="99">T34</f>
        <v>750</v>
      </c>
      <c r="W34" s="17">
        <f>ROUND(M34/20,-1)</f>
        <v>600</v>
      </c>
      <c r="X34" s="14">
        <f t="shared" ref="X34:X35" si="100">W34</f>
        <v>600</v>
      </c>
      <c r="Y34" s="14">
        <f t="shared" ref="Y34:Y35" si="101">W34</f>
        <v>600</v>
      </c>
      <c r="Z34" s="14">
        <f t="shared" ref="Z34:Z35" si="102">W34</f>
        <v>600</v>
      </c>
      <c r="AA34" s="17">
        <f>ROUND(M34/24,-1)</f>
        <v>500</v>
      </c>
      <c r="AB34" s="14">
        <f t="shared" ref="AB34:AB35" si="103">AA34</f>
        <v>500</v>
      </c>
      <c r="AC34" s="14">
        <f t="shared" ref="AC34:AC35" si="104">AB34</f>
        <v>500</v>
      </c>
      <c r="AD34" s="14">
        <f t="shared" ref="AD34:AD35" si="105">AC34</f>
        <v>500</v>
      </c>
      <c r="AE34" s="14">
        <f t="shared" ref="AE34:AE35" si="106">AD34</f>
        <v>500</v>
      </c>
      <c r="AF34" s="14">
        <f t="shared" ref="AF34:AF35" si="107">AE34</f>
        <v>500</v>
      </c>
      <c r="AG34" s="14">
        <f t="shared" ref="AG34:AG35" si="108">AF34</f>
        <v>500</v>
      </c>
      <c r="AH34" s="14">
        <f t="shared" ref="AH34:AH35" si="109">AG34</f>
        <v>500</v>
      </c>
      <c r="AI34" s="14">
        <f t="shared" ref="AI34:AI35" si="110">AH34</f>
        <v>500</v>
      </c>
      <c r="AJ34" s="14">
        <f t="shared" ref="AJ34:AJ35" si="111">AI34</f>
        <v>500</v>
      </c>
      <c r="AK34" s="14">
        <f t="shared" ref="AK34:AK35" si="112">AJ34</f>
        <v>500</v>
      </c>
      <c r="AL34" s="14">
        <f t="shared" ref="AL34:AL35" si="113">AK34</f>
        <v>500</v>
      </c>
      <c r="AM34" s="14">
        <f t="shared" ref="AM34:AM35" si="114">AL34</f>
        <v>500</v>
      </c>
    </row>
    <row r="35" spans="1:39" x14ac:dyDescent="0.35">
      <c r="B35" s="10">
        <v>19</v>
      </c>
      <c r="C35" s="164" t="s">
        <v>50</v>
      </c>
      <c r="D35" s="2" t="s">
        <v>1</v>
      </c>
      <c r="E35" s="2" t="s">
        <v>51</v>
      </c>
      <c r="F35" s="2" t="s">
        <v>168</v>
      </c>
      <c r="G35" s="6">
        <v>5500</v>
      </c>
      <c r="H35" s="6">
        <v>7000</v>
      </c>
      <c r="I35" s="155">
        <v>7000</v>
      </c>
      <c r="J35" s="155">
        <v>7000</v>
      </c>
      <c r="K35" s="155">
        <v>7000</v>
      </c>
      <c r="L35" s="163">
        <v>15000</v>
      </c>
      <c r="M35" s="163">
        <v>20000</v>
      </c>
      <c r="N35" s="169">
        <v>19825</v>
      </c>
      <c r="O35" s="17">
        <f>ROUND(M35/9,-1)</f>
        <v>2220</v>
      </c>
      <c r="P35" s="14">
        <f t="shared" si="95"/>
        <v>2220</v>
      </c>
      <c r="Q35" s="17">
        <f>ROUND(M35/13,-1)</f>
        <v>1540</v>
      </c>
      <c r="R35" s="14">
        <f t="shared" si="96"/>
        <v>1540</v>
      </c>
      <c r="S35" s="14">
        <f t="shared" si="97"/>
        <v>1540</v>
      </c>
      <c r="T35" s="17">
        <f>ROUND(M35/16,-1)</f>
        <v>1250</v>
      </c>
      <c r="U35" s="14">
        <f t="shared" si="98"/>
        <v>1250</v>
      </c>
      <c r="V35" s="14">
        <f t="shared" si="99"/>
        <v>1250</v>
      </c>
      <c r="W35" s="17">
        <f>ROUND(M35/20,-1)</f>
        <v>1000</v>
      </c>
      <c r="X35" s="14">
        <f t="shared" si="100"/>
        <v>1000</v>
      </c>
      <c r="Y35" s="14">
        <f t="shared" si="101"/>
        <v>1000</v>
      </c>
      <c r="Z35" s="14">
        <f t="shared" si="102"/>
        <v>1000</v>
      </c>
      <c r="AA35" s="17">
        <f>ROUND(M35/24,-1)</f>
        <v>830</v>
      </c>
      <c r="AB35" s="14">
        <f t="shared" si="103"/>
        <v>830</v>
      </c>
      <c r="AC35" s="14">
        <f t="shared" si="104"/>
        <v>830</v>
      </c>
      <c r="AD35" s="14">
        <f t="shared" si="105"/>
        <v>830</v>
      </c>
      <c r="AE35" s="14">
        <f t="shared" si="106"/>
        <v>830</v>
      </c>
      <c r="AF35" s="14">
        <f t="shared" si="107"/>
        <v>830</v>
      </c>
      <c r="AG35" s="14">
        <f t="shared" si="108"/>
        <v>830</v>
      </c>
      <c r="AH35" s="14">
        <f t="shared" si="109"/>
        <v>830</v>
      </c>
      <c r="AI35" s="14">
        <f t="shared" si="110"/>
        <v>830</v>
      </c>
      <c r="AJ35" s="14">
        <f t="shared" si="111"/>
        <v>830</v>
      </c>
      <c r="AK35" s="14">
        <f t="shared" si="112"/>
        <v>830</v>
      </c>
      <c r="AL35" s="14">
        <f t="shared" si="113"/>
        <v>830</v>
      </c>
      <c r="AM35" s="14">
        <f t="shared" si="114"/>
        <v>830</v>
      </c>
    </row>
    <row r="36" spans="1:39" x14ac:dyDescent="0.35">
      <c r="B36" s="1">
        <v>20</v>
      </c>
      <c r="C36" s="164" t="s">
        <v>339</v>
      </c>
      <c r="D36" s="2" t="s">
        <v>1</v>
      </c>
      <c r="E36" s="2" t="s">
        <v>52</v>
      </c>
      <c r="F36" s="2" t="s">
        <v>168</v>
      </c>
      <c r="G36" s="6">
        <v>16600</v>
      </c>
      <c r="H36" s="6">
        <v>19250</v>
      </c>
      <c r="I36" s="155">
        <v>19250</v>
      </c>
      <c r="J36" s="155">
        <v>19250</v>
      </c>
      <c r="K36" s="155">
        <v>19250</v>
      </c>
      <c r="L36" s="155">
        <v>33000</v>
      </c>
      <c r="M36" s="155">
        <v>33000</v>
      </c>
      <c r="N36" s="169">
        <f>25990/1.2</f>
        <v>21658.333333333336</v>
      </c>
      <c r="O36" s="18">
        <f t="shared" ref="O36:O42" si="115">ROUND(M36/6,-1)</f>
        <v>5500</v>
      </c>
      <c r="P36" s="14">
        <f t="shared" si="95"/>
        <v>5500</v>
      </c>
      <c r="Q36" s="18">
        <f t="shared" ref="Q36:Q42" si="116">ROUND(M36/9,-1)</f>
        <v>3670</v>
      </c>
      <c r="R36" s="14">
        <f>Q36</f>
        <v>3670</v>
      </c>
      <c r="S36" s="14">
        <f>Q36</f>
        <v>3670</v>
      </c>
      <c r="T36" s="18">
        <f t="shared" ref="T36:T42" si="117">ROUND(M36/11,-1)</f>
        <v>3000</v>
      </c>
      <c r="U36" s="14">
        <f>T36</f>
        <v>3000</v>
      </c>
      <c r="V36" s="14">
        <f>T36</f>
        <v>3000</v>
      </c>
      <c r="W36" s="18">
        <f t="shared" ref="W36:W42" si="118">ROUND(M36/13,-1)</f>
        <v>2540</v>
      </c>
      <c r="X36" s="14">
        <f>W36</f>
        <v>2540</v>
      </c>
      <c r="Y36" s="14">
        <f>W36</f>
        <v>2540</v>
      </c>
      <c r="Z36" s="14">
        <f>W36</f>
        <v>2540</v>
      </c>
      <c r="AA36" s="18">
        <f t="shared" ref="AA36:AA42" si="119">ROUND(M36/15,-1)</f>
        <v>2200</v>
      </c>
      <c r="AB36" s="14">
        <f>AA36</f>
        <v>2200</v>
      </c>
      <c r="AC36" s="14">
        <f t="shared" ref="AC36" si="120">AB36</f>
        <v>2200</v>
      </c>
      <c r="AD36" s="14">
        <f t="shared" ref="AD36" si="121">AC36</f>
        <v>2200</v>
      </c>
      <c r="AE36" s="14">
        <f t="shared" ref="AE36" si="122">AD36</f>
        <v>2200</v>
      </c>
      <c r="AF36" s="14">
        <f t="shared" ref="AF36" si="123">AE36</f>
        <v>2200</v>
      </c>
      <c r="AG36" s="14">
        <f t="shared" ref="AG36" si="124">AF36</f>
        <v>2200</v>
      </c>
      <c r="AH36" s="14">
        <f t="shared" ref="AH36" si="125">AG36</f>
        <v>2200</v>
      </c>
      <c r="AI36" s="14">
        <f t="shared" ref="AI36" si="126">AH36</f>
        <v>2200</v>
      </c>
      <c r="AJ36" s="14">
        <f t="shared" ref="AJ36" si="127">AI36</f>
        <v>2200</v>
      </c>
      <c r="AK36" s="14">
        <f t="shared" ref="AK36" si="128">AJ36</f>
        <v>2200</v>
      </c>
      <c r="AL36" s="14">
        <f t="shared" ref="AL36" si="129">AK36</f>
        <v>2200</v>
      </c>
      <c r="AM36" s="14">
        <f t="shared" ref="AM36" si="130">AL36</f>
        <v>2200</v>
      </c>
    </row>
    <row r="37" spans="1:39" x14ac:dyDescent="0.35">
      <c r="B37" s="1">
        <v>21</v>
      </c>
      <c r="C37" s="164" t="s">
        <v>340</v>
      </c>
      <c r="D37" s="2" t="s">
        <v>1</v>
      </c>
      <c r="E37" s="2" t="s">
        <v>53</v>
      </c>
      <c r="F37" s="2" t="s">
        <v>168</v>
      </c>
      <c r="G37" s="6">
        <v>18500</v>
      </c>
      <c r="H37" s="6">
        <v>21250</v>
      </c>
      <c r="I37" s="155">
        <v>21250</v>
      </c>
      <c r="J37" s="155">
        <v>21250</v>
      </c>
      <c r="K37" s="155">
        <v>21250</v>
      </c>
      <c r="L37" s="155">
        <v>35000</v>
      </c>
      <c r="M37" s="155">
        <v>35000</v>
      </c>
      <c r="N37" s="169">
        <f>28490/1.2</f>
        <v>23741.666666666668</v>
      </c>
      <c r="O37" s="18">
        <f>ROUND(M37/6,-1)</f>
        <v>5830</v>
      </c>
      <c r="P37" s="14">
        <f t="shared" si="95"/>
        <v>5830</v>
      </c>
      <c r="Q37" s="18">
        <f t="shared" si="116"/>
        <v>3890</v>
      </c>
      <c r="R37" s="14">
        <f t="shared" ref="R37:R42" si="131">Q37</f>
        <v>3890</v>
      </c>
      <c r="S37" s="14">
        <f t="shared" ref="S37:S42" si="132">Q37</f>
        <v>3890</v>
      </c>
      <c r="T37" s="18">
        <f t="shared" si="117"/>
        <v>3180</v>
      </c>
      <c r="U37" s="14">
        <f t="shared" ref="U37:U42" si="133">T37</f>
        <v>3180</v>
      </c>
      <c r="V37" s="14">
        <f t="shared" ref="V37:V42" si="134">T37</f>
        <v>3180</v>
      </c>
      <c r="W37" s="18">
        <f t="shared" si="118"/>
        <v>2690</v>
      </c>
      <c r="X37" s="14">
        <f t="shared" ref="X37:X42" si="135">W37</f>
        <v>2690</v>
      </c>
      <c r="Y37" s="14">
        <f t="shared" ref="Y37:Y42" si="136">W37</f>
        <v>2690</v>
      </c>
      <c r="Z37" s="14">
        <f t="shared" ref="Z37:Z42" si="137">W37</f>
        <v>2690</v>
      </c>
      <c r="AA37" s="18">
        <f t="shared" si="119"/>
        <v>2330</v>
      </c>
      <c r="AB37" s="14">
        <f t="shared" ref="AB37:AB42" si="138">AA37</f>
        <v>2330</v>
      </c>
      <c r="AC37" s="14">
        <f t="shared" ref="AC37:AC42" si="139">AB37</f>
        <v>2330</v>
      </c>
      <c r="AD37" s="14">
        <f t="shared" ref="AD37:AD42" si="140">AC37</f>
        <v>2330</v>
      </c>
      <c r="AE37" s="14">
        <f t="shared" ref="AE37:AE42" si="141">AD37</f>
        <v>2330</v>
      </c>
      <c r="AF37" s="14">
        <f t="shared" ref="AF37:AF42" si="142">AE37</f>
        <v>2330</v>
      </c>
      <c r="AG37" s="14">
        <f t="shared" ref="AG37:AG42" si="143">AF37</f>
        <v>2330</v>
      </c>
      <c r="AH37" s="14">
        <f t="shared" ref="AH37:AH42" si="144">AG37</f>
        <v>2330</v>
      </c>
      <c r="AI37" s="14">
        <f t="shared" ref="AI37:AI42" si="145">AH37</f>
        <v>2330</v>
      </c>
      <c r="AJ37" s="14">
        <f t="shared" ref="AJ37:AJ42" si="146">AI37</f>
        <v>2330</v>
      </c>
      <c r="AK37" s="14">
        <f t="shared" ref="AK37:AK42" si="147">AJ37</f>
        <v>2330</v>
      </c>
      <c r="AL37" s="14">
        <f t="shared" ref="AL37:AL42" si="148">AK37</f>
        <v>2330</v>
      </c>
      <c r="AM37" s="14">
        <f t="shared" ref="AM37:AM42" si="149">AL37</f>
        <v>2330</v>
      </c>
    </row>
    <row r="38" spans="1:39" x14ac:dyDescent="0.35">
      <c r="B38" s="1">
        <v>22</v>
      </c>
      <c r="C38" s="164" t="s">
        <v>341</v>
      </c>
      <c r="D38" s="2" t="s">
        <v>1</v>
      </c>
      <c r="E38" s="2" t="s">
        <v>54</v>
      </c>
      <c r="F38" s="2" t="s">
        <v>168</v>
      </c>
      <c r="G38" s="6">
        <v>20000</v>
      </c>
      <c r="H38" s="6">
        <v>27250</v>
      </c>
      <c r="I38" s="155">
        <v>27250</v>
      </c>
      <c r="J38" s="155">
        <v>27250</v>
      </c>
      <c r="K38" s="155">
        <v>27250</v>
      </c>
      <c r="L38" s="155">
        <v>45000</v>
      </c>
      <c r="M38" s="155">
        <v>45000</v>
      </c>
      <c r="N38" s="169">
        <f>38990/1.2</f>
        <v>32491.666666666668</v>
      </c>
      <c r="O38" s="18">
        <f t="shared" si="115"/>
        <v>7500</v>
      </c>
      <c r="P38" s="14">
        <f t="shared" si="95"/>
        <v>7500</v>
      </c>
      <c r="Q38" s="18">
        <f t="shared" si="116"/>
        <v>5000</v>
      </c>
      <c r="R38" s="14">
        <f t="shared" si="131"/>
        <v>5000</v>
      </c>
      <c r="S38" s="14">
        <f t="shared" si="132"/>
        <v>5000</v>
      </c>
      <c r="T38" s="18">
        <f t="shared" si="117"/>
        <v>4090</v>
      </c>
      <c r="U38" s="14">
        <f t="shared" si="133"/>
        <v>4090</v>
      </c>
      <c r="V38" s="14">
        <f t="shared" si="134"/>
        <v>4090</v>
      </c>
      <c r="W38" s="18">
        <f t="shared" si="118"/>
        <v>3460</v>
      </c>
      <c r="X38" s="14">
        <f t="shared" si="135"/>
        <v>3460</v>
      </c>
      <c r="Y38" s="14">
        <f t="shared" si="136"/>
        <v>3460</v>
      </c>
      <c r="Z38" s="14">
        <f t="shared" si="137"/>
        <v>3460</v>
      </c>
      <c r="AA38" s="18">
        <f t="shared" si="119"/>
        <v>3000</v>
      </c>
      <c r="AB38" s="14">
        <f t="shared" si="138"/>
        <v>3000</v>
      </c>
      <c r="AC38" s="14">
        <f t="shared" si="139"/>
        <v>3000</v>
      </c>
      <c r="AD38" s="14">
        <f t="shared" si="140"/>
        <v>3000</v>
      </c>
      <c r="AE38" s="14">
        <f t="shared" si="141"/>
        <v>3000</v>
      </c>
      <c r="AF38" s="14">
        <f t="shared" si="142"/>
        <v>3000</v>
      </c>
      <c r="AG38" s="14">
        <f t="shared" si="143"/>
        <v>3000</v>
      </c>
      <c r="AH38" s="14">
        <f t="shared" si="144"/>
        <v>3000</v>
      </c>
      <c r="AI38" s="14">
        <f t="shared" si="145"/>
        <v>3000</v>
      </c>
      <c r="AJ38" s="14">
        <f t="shared" si="146"/>
        <v>3000</v>
      </c>
      <c r="AK38" s="14">
        <f t="shared" si="147"/>
        <v>3000</v>
      </c>
      <c r="AL38" s="14">
        <f t="shared" si="148"/>
        <v>3000</v>
      </c>
      <c r="AM38" s="14">
        <f t="shared" si="149"/>
        <v>3000</v>
      </c>
    </row>
    <row r="39" spans="1:39" x14ac:dyDescent="0.35">
      <c r="B39" s="1">
        <v>23</v>
      </c>
      <c r="C39" s="164" t="s">
        <v>342</v>
      </c>
      <c r="D39" s="2" t="s">
        <v>1</v>
      </c>
      <c r="E39" s="2" t="s">
        <v>55</v>
      </c>
      <c r="F39" s="2" t="s">
        <v>168</v>
      </c>
      <c r="G39" s="6">
        <v>23000</v>
      </c>
      <c r="H39" s="6">
        <v>43990</v>
      </c>
      <c r="I39" s="155">
        <v>43990</v>
      </c>
      <c r="J39" s="155">
        <v>43990</v>
      </c>
      <c r="K39" s="155">
        <v>43990</v>
      </c>
      <c r="L39" s="155">
        <v>110000</v>
      </c>
      <c r="M39" s="155">
        <v>110000</v>
      </c>
      <c r="N39" s="169">
        <f>62990/1.2</f>
        <v>52491.666666666672</v>
      </c>
      <c r="O39" s="18">
        <f t="shared" si="115"/>
        <v>18330</v>
      </c>
      <c r="P39" s="14">
        <f t="shared" si="95"/>
        <v>18330</v>
      </c>
      <c r="Q39" s="18">
        <f t="shared" si="116"/>
        <v>12220</v>
      </c>
      <c r="R39" s="14">
        <f t="shared" si="131"/>
        <v>12220</v>
      </c>
      <c r="S39" s="14">
        <f t="shared" si="132"/>
        <v>12220</v>
      </c>
      <c r="T39" s="18">
        <f t="shared" si="117"/>
        <v>10000</v>
      </c>
      <c r="U39" s="14">
        <f t="shared" si="133"/>
        <v>10000</v>
      </c>
      <c r="V39" s="14">
        <f t="shared" si="134"/>
        <v>10000</v>
      </c>
      <c r="W39" s="18">
        <f t="shared" si="118"/>
        <v>8460</v>
      </c>
      <c r="X39" s="14">
        <f t="shared" si="135"/>
        <v>8460</v>
      </c>
      <c r="Y39" s="14">
        <f t="shared" si="136"/>
        <v>8460</v>
      </c>
      <c r="Z39" s="14">
        <f t="shared" si="137"/>
        <v>8460</v>
      </c>
      <c r="AA39" s="18">
        <f t="shared" si="119"/>
        <v>7330</v>
      </c>
      <c r="AB39" s="14">
        <f t="shared" si="138"/>
        <v>7330</v>
      </c>
      <c r="AC39" s="14">
        <f t="shared" si="139"/>
        <v>7330</v>
      </c>
      <c r="AD39" s="14">
        <f t="shared" si="140"/>
        <v>7330</v>
      </c>
      <c r="AE39" s="14">
        <f t="shared" si="141"/>
        <v>7330</v>
      </c>
      <c r="AF39" s="14">
        <f t="shared" si="142"/>
        <v>7330</v>
      </c>
      <c r="AG39" s="14">
        <f t="shared" si="143"/>
        <v>7330</v>
      </c>
      <c r="AH39" s="14">
        <f t="shared" si="144"/>
        <v>7330</v>
      </c>
      <c r="AI39" s="14">
        <f t="shared" si="145"/>
        <v>7330</v>
      </c>
      <c r="AJ39" s="14">
        <f t="shared" si="146"/>
        <v>7330</v>
      </c>
      <c r="AK39" s="14">
        <f t="shared" si="147"/>
        <v>7330</v>
      </c>
      <c r="AL39" s="14">
        <f t="shared" si="148"/>
        <v>7330</v>
      </c>
      <c r="AM39" s="14">
        <f t="shared" si="149"/>
        <v>7330</v>
      </c>
    </row>
    <row r="40" spans="1:39" x14ac:dyDescent="0.35">
      <c r="B40" s="1">
        <v>188</v>
      </c>
      <c r="C40" s="164" t="s">
        <v>343</v>
      </c>
      <c r="D40" s="2" t="s">
        <v>1</v>
      </c>
      <c r="E40" s="2" t="s">
        <v>56</v>
      </c>
      <c r="F40" s="2" t="s">
        <v>168</v>
      </c>
      <c r="G40" s="6">
        <v>30000</v>
      </c>
      <c r="H40" s="6">
        <v>54200</v>
      </c>
      <c r="I40" s="155">
        <v>54200</v>
      </c>
      <c r="J40" s="155">
        <v>54200</v>
      </c>
      <c r="K40" s="155">
        <v>54200</v>
      </c>
      <c r="L40" s="155">
        <v>130000</v>
      </c>
      <c r="M40" s="155">
        <v>130000</v>
      </c>
      <c r="N40" s="169">
        <f>77990/1.2</f>
        <v>64991.666666666672</v>
      </c>
      <c r="O40" s="18">
        <f t="shared" si="115"/>
        <v>21670</v>
      </c>
      <c r="P40" s="14">
        <f t="shared" si="95"/>
        <v>21670</v>
      </c>
      <c r="Q40" s="18">
        <f t="shared" si="116"/>
        <v>14440</v>
      </c>
      <c r="R40" s="14">
        <f t="shared" si="131"/>
        <v>14440</v>
      </c>
      <c r="S40" s="14">
        <f t="shared" si="132"/>
        <v>14440</v>
      </c>
      <c r="T40" s="18">
        <f t="shared" si="117"/>
        <v>11820</v>
      </c>
      <c r="U40" s="14">
        <f t="shared" si="133"/>
        <v>11820</v>
      </c>
      <c r="V40" s="14">
        <f t="shared" si="134"/>
        <v>11820</v>
      </c>
      <c r="W40" s="18">
        <f t="shared" si="118"/>
        <v>10000</v>
      </c>
      <c r="X40" s="14">
        <f t="shared" si="135"/>
        <v>10000</v>
      </c>
      <c r="Y40" s="14">
        <f t="shared" si="136"/>
        <v>10000</v>
      </c>
      <c r="Z40" s="14">
        <f t="shared" si="137"/>
        <v>10000</v>
      </c>
      <c r="AA40" s="18">
        <f t="shared" si="119"/>
        <v>8670</v>
      </c>
      <c r="AB40" s="14">
        <f t="shared" si="138"/>
        <v>8670</v>
      </c>
      <c r="AC40" s="14">
        <f t="shared" si="139"/>
        <v>8670</v>
      </c>
      <c r="AD40" s="14">
        <f t="shared" si="140"/>
        <v>8670</v>
      </c>
      <c r="AE40" s="14">
        <f t="shared" si="141"/>
        <v>8670</v>
      </c>
      <c r="AF40" s="14">
        <f t="shared" si="142"/>
        <v>8670</v>
      </c>
      <c r="AG40" s="14">
        <f t="shared" si="143"/>
        <v>8670</v>
      </c>
      <c r="AH40" s="14">
        <f t="shared" si="144"/>
        <v>8670</v>
      </c>
      <c r="AI40" s="14">
        <f t="shared" si="145"/>
        <v>8670</v>
      </c>
      <c r="AJ40" s="14">
        <f t="shared" si="146"/>
        <v>8670</v>
      </c>
      <c r="AK40" s="14">
        <f t="shared" si="147"/>
        <v>8670</v>
      </c>
      <c r="AL40" s="14">
        <f t="shared" si="148"/>
        <v>8670</v>
      </c>
      <c r="AM40" s="14">
        <f t="shared" si="149"/>
        <v>8670</v>
      </c>
    </row>
    <row r="41" spans="1:39" x14ac:dyDescent="0.35">
      <c r="B41" s="1">
        <v>189</v>
      </c>
      <c r="C41" s="164" t="s">
        <v>344</v>
      </c>
      <c r="D41" s="2" t="s">
        <v>1</v>
      </c>
      <c r="E41" s="2" t="s">
        <v>57</v>
      </c>
      <c r="F41" s="2" t="s">
        <v>168</v>
      </c>
      <c r="G41" s="6">
        <v>17000</v>
      </c>
      <c r="H41" s="6">
        <v>21990</v>
      </c>
      <c r="I41" s="155">
        <v>21990</v>
      </c>
      <c r="J41" s="155">
        <v>21990</v>
      </c>
      <c r="K41" s="155">
        <v>21990</v>
      </c>
      <c r="L41" s="155">
        <v>36000</v>
      </c>
      <c r="M41" s="155">
        <v>36000</v>
      </c>
      <c r="N41" s="169">
        <f>35990/1.2</f>
        <v>29991.666666666668</v>
      </c>
      <c r="O41" s="18">
        <f t="shared" si="115"/>
        <v>6000</v>
      </c>
      <c r="P41" s="14">
        <f t="shared" si="95"/>
        <v>6000</v>
      </c>
      <c r="Q41" s="18">
        <f t="shared" si="116"/>
        <v>4000</v>
      </c>
      <c r="R41" s="14">
        <f t="shared" si="131"/>
        <v>4000</v>
      </c>
      <c r="S41" s="14">
        <f t="shared" si="132"/>
        <v>4000</v>
      </c>
      <c r="T41" s="18">
        <f t="shared" si="117"/>
        <v>3270</v>
      </c>
      <c r="U41" s="14">
        <f t="shared" si="133"/>
        <v>3270</v>
      </c>
      <c r="V41" s="14">
        <f t="shared" si="134"/>
        <v>3270</v>
      </c>
      <c r="W41" s="18">
        <f t="shared" si="118"/>
        <v>2770</v>
      </c>
      <c r="X41" s="14">
        <f t="shared" si="135"/>
        <v>2770</v>
      </c>
      <c r="Y41" s="14">
        <f t="shared" si="136"/>
        <v>2770</v>
      </c>
      <c r="Z41" s="14">
        <f t="shared" si="137"/>
        <v>2770</v>
      </c>
      <c r="AA41" s="18">
        <f t="shared" si="119"/>
        <v>2400</v>
      </c>
      <c r="AB41" s="14">
        <f t="shared" si="138"/>
        <v>2400</v>
      </c>
      <c r="AC41" s="14">
        <f t="shared" si="139"/>
        <v>2400</v>
      </c>
      <c r="AD41" s="14">
        <f t="shared" si="140"/>
        <v>2400</v>
      </c>
      <c r="AE41" s="14">
        <f t="shared" si="141"/>
        <v>2400</v>
      </c>
      <c r="AF41" s="14">
        <f t="shared" si="142"/>
        <v>2400</v>
      </c>
      <c r="AG41" s="14">
        <f t="shared" si="143"/>
        <v>2400</v>
      </c>
      <c r="AH41" s="14">
        <f t="shared" si="144"/>
        <v>2400</v>
      </c>
      <c r="AI41" s="14">
        <f t="shared" si="145"/>
        <v>2400</v>
      </c>
      <c r="AJ41" s="14">
        <f t="shared" si="146"/>
        <v>2400</v>
      </c>
      <c r="AK41" s="14">
        <f t="shared" si="147"/>
        <v>2400</v>
      </c>
      <c r="AL41" s="14">
        <f t="shared" si="148"/>
        <v>2400</v>
      </c>
      <c r="AM41" s="14">
        <f t="shared" si="149"/>
        <v>2400</v>
      </c>
    </row>
    <row r="42" spans="1:39" x14ac:dyDescent="0.35">
      <c r="B42" s="1">
        <v>115</v>
      </c>
      <c r="C42" s="164" t="s">
        <v>345</v>
      </c>
      <c r="D42" s="2" t="s">
        <v>1</v>
      </c>
      <c r="E42" s="2" t="s">
        <v>58</v>
      </c>
      <c r="F42" s="2" t="s">
        <v>168</v>
      </c>
      <c r="G42" s="6">
        <v>13000</v>
      </c>
      <c r="H42" s="6">
        <v>15490</v>
      </c>
      <c r="I42" s="155">
        <v>15490</v>
      </c>
      <c r="J42" s="155">
        <v>15490</v>
      </c>
      <c r="K42" s="155">
        <v>15490</v>
      </c>
      <c r="L42" s="155">
        <v>25000</v>
      </c>
      <c r="M42" s="155">
        <v>25000</v>
      </c>
      <c r="N42" s="169">
        <f>24990/1.2</f>
        <v>20825</v>
      </c>
      <c r="O42" s="18">
        <f t="shared" si="115"/>
        <v>4170</v>
      </c>
      <c r="P42" s="14">
        <f t="shared" si="95"/>
        <v>4170</v>
      </c>
      <c r="Q42" s="18">
        <f t="shared" si="116"/>
        <v>2780</v>
      </c>
      <c r="R42" s="14">
        <f t="shared" si="131"/>
        <v>2780</v>
      </c>
      <c r="S42" s="14">
        <f t="shared" si="132"/>
        <v>2780</v>
      </c>
      <c r="T42" s="18">
        <f t="shared" si="117"/>
        <v>2270</v>
      </c>
      <c r="U42" s="14">
        <f t="shared" si="133"/>
        <v>2270</v>
      </c>
      <c r="V42" s="14">
        <f t="shared" si="134"/>
        <v>2270</v>
      </c>
      <c r="W42" s="18">
        <f t="shared" si="118"/>
        <v>1920</v>
      </c>
      <c r="X42" s="14">
        <f t="shared" si="135"/>
        <v>1920</v>
      </c>
      <c r="Y42" s="14">
        <f t="shared" si="136"/>
        <v>1920</v>
      </c>
      <c r="Z42" s="14">
        <f t="shared" si="137"/>
        <v>1920</v>
      </c>
      <c r="AA42" s="18">
        <f t="shared" si="119"/>
        <v>1670</v>
      </c>
      <c r="AB42" s="14">
        <f t="shared" si="138"/>
        <v>1670</v>
      </c>
      <c r="AC42" s="14">
        <f t="shared" si="139"/>
        <v>1670</v>
      </c>
      <c r="AD42" s="14">
        <f t="shared" si="140"/>
        <v>1670</v>
      </c>
      <c r="AE42" s="14">
        <f t="shared" si="141"/>
        <v>1670</v>
      </c>
      <c r="AF42" s="14">
        <f t="shared" si="142"/>
        <v>1670</v>
      </c>
      <c r="AG42" s="14">
        <f t="shared" si="143"/>
        <v>1670</v>
      </c>
      <c r="AH42" s="14">
        <f t="shared" si="144"/>
        <v>1670</v>
      </c>
      <c r="AI42" s="14">
        <f t="shared" si="145"/>
        <v>1670</v>
      </c>
      <c r="AJ42" s="14">
        <f t="shared" si="146"/>
        <v>1670</v>
      </c>
      <c r="AK42" s="14">
        <f t="shared" si="147"/>
        <v>1670</v>
      </c>
      <c r="AL42" s="14">
        <f t="shared" si="148"/>
        <v>1670</v>
      </c>
      <c r="AM42" s="14">
        <f t="shared" si="149"/>
        <v>1670</v>
      </c>
    </row>
    <row r="43" spans="1:39" hidden="1" x14ac:dyDescent="0.35">
      <c r="B43" s="1">
        <v>71</v>
      </c>
      <c r="C43" s="2" t="s">
        <v>59</v>
      </c>
      <c r="D43" s="2" t="s">
        <v>60</v>
      </c>
      <c r="E43" s="2"/>
      <c r="F43" s="2" t="s">
        <v>170</v>
      </c>
      <c r="L43" s="5"/>
      <c r="M43" s="5"/>
      <c r="N43" s="170"/>
      <c r="O43" s="16"/>
      <c r="P43" s="14"/>
      <c r="Q43" s="16"/>
      <c r="R43" s="14"/>
      <c r="S43" s="14"/>
      <c r="T43" s="16"/>
      <c r="U43" s="14"/>
      <c r="V43" s="14"/>
      <c r="W43" s="16"/>
      <c r="X43" s="14"/>
      <c r="Y43" s="14"/>
      <c r="Z43" s="14"/>
      <c r="AA43" s="16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</row>
    <row r="44" spans="1:39" hidden="1" x14ac:dyDescent="0.35">
      <c r="B44" s="1">
        <v>72</v>
      </c>
      <c r="C44" s="2" t="s">
        <v>61</v>
      </c>
      <c r="D44" s="2" t="s">
        <v>60</v>
      </c>
      <c r="E44" s="2"/>
      <c r="F44" s="2" t="s">
        <v>170</v>
      </c>
      <c r="L44" s="5"/>
      <c r="M44" s="5"/>
      <c r="N44" s="170"/>
      <c r="O44" s="16"/>
      <c r="P44" s="14"/>
      <c r="Q44" s="16"/>
      <c r="R44" s="14"/>
      <c r="S44" s="14"/>
      <c r="T44" s="16"/>
      <c r="U44" s="14"/>
      <c r="V44" s="14"/>
      <c r="W44" s="16"/>
      <c r="X44" s="14"/>
      <c r="Y44" s="14"/>
      <c r="Z44" s="14"/>
      <c r="AA44" s="16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</row>
    <row r="45" spans="1:39" hidden="1" x14ac:dyDescent="0.35">
      <c r="A45" t="s">
        <v>178</v>
      </c>
      <c r="B45" s="1">
        <v>98</v>
      </c>
      <c r="C45" s="2" t="s">
        <v>62</v>
      </c>
      <c r="D45" s="4" t="s">
        <v>166</v>
      </c>
      <c r="E45" s="2"/>
      <c r="F45" s="2" t="s">
        <v>167</v>
      </c>
      <c r="L45" s="5"/>
      <c r="M45" s="5"/>
      <c r="N45" s="170"/>
      <c r="O45" s="16"/>
      <c r="P45" s="14"/>
      <c r="Q45" s="16"/>
      <c r="R45" s="14"/>
      <c r="S45" s="14"/>
      <c r="T45" s="16"/>
      <c r="U45" s="14"/>
      <c r="V45" s="14"/>
      <c r="W45" s="16"/>
      <c r="X45" s="14"/>
      <c r="Y45" s="14"/>
      <c r="Z45" s="14"/>
      <c r="AA45" s="16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</row>
    <row r="46" spans="1:39" x14ac:dyDescent="0.35">
      <c r="B46" s="11">
        <v>14</v>
      </c>
      <c r="C46" s="164" t="s">
        <v>64</v>
      </c>
      <c r="D46" s="12" t="s">
        <v>13</v>
      </c>
      <c r="E46" s="12"/>
      <c r="F46" s="12" t="s">
        <v>169</v>
      </c>
      <c r="G46" s="6">
        <v>3816</v>
      </c>
      <c r="H46" s="6">
        <v>6300</v>
      </c>
      <c r="I46" s="155">
        <f>6300-1000</f>
        <v>5300</v>
      </c>
      <c r="J46" s="155">
        <v>6625</v>
      </c>
      <c r="K46" s="155">
        <v>6625</v>
      </c>
      <c r="L46" s="163">
        <v>6625</v>
      </c>
      <c r="M46" s="163">
        <f>N46*1.2</f>
        <v>14790</v>
      </c>
      <c r="N46" s="173">
        <f>14790/1.2</f>
        <v>12325</v>
      </c>
      <c r="O46" s="18">
        <f>ROUND(M46/6,-1)</f>
        <v>2470</v>
      </c>
      <c r="P46" s="14">
        <f t="shared" ref="P46:P55" si="150">O46</f>
        <v>2470</v>
      </c>
      <c r="Q46" s="18">
        <f>ROUND(M46/9,-1)</f>
        <v>1640</v>
      </c>
      <c r="R46" s="14">
        <f t="shared" ref="R46:R51" si="151">Q46</f>
        <v>1640</v>
      </c>
      <c r="S46" s="14">
        <f t="shared" ref="S46:S51" si="152">Q46</f>
        <v>1640</v>
      </c>
      <c r="T46" s="18">
        <f>ROUND(M46/11,-1)</f>
        <v>1340</v>
      </c>
      <c r="U46" s="14">
        <f t="shared" ref="U46:U51" si="153">T46</f>
        <v>1340</v>
      </c>
      <c r="V46" s="14">
        <f t="shared" ref="V46:V51" si="154">T46</f>
        <v>1340</v>
      </c>
      <c r="W46" s="18">
        <f>ROUND(M46/13,-1)</f>
        <v>1140</v>
      </c>
      <c r="X46" s="14">
        <f t="shared" ref="X46:X51" si="155">W46</f>
        <v>1140</v>
      </c>
      <c r="Y46" s="14">
        <f t="shared" ref="Y46:Y51" si="156">W46</f>
        <v>1140</v>
      </c>
      <c r="Z46" s="14">
        <f t="shared" ref="Z46:Z51" si="157">W46</f>
        <v>1140</v>
      </c>
      <c r="AA46" s="18">
        <f>ROUND(M46/15,-1)</f>
        <v>990</v>
      </c>
      <c r="AB46" s="14">
        <f t="shared" ref="AB46:AM51" si="158">AA46</f>
        <v>990</v>
      </c>
      <c r="AC46" s="14">
        <f t="shared" si="158"/>
        <v>990</v>
      </c>
      <c r="AD46" s="14">
        <f t="shared" si="158"/>
        <v>990</v>
      </c>
      <c r="AE46" s="14">
        <f t="shared" si="158"/>
        <v>990</v>
      </c>
      <c r="AF46" s="14">
        <f t="shared" si="158"/>
        <v>990</v>
      </c>
      <c r="AG46" s="14">
        <f t="shared" si="158"/>
        <v>990</v>
      </c>
      <c r="AH46" s="14">
        <f t="shared" si="158"/>
        <v>990</v>
      </c>
      <c r="AI46" s="14">
        <f t="shared" si="158"/>
        <v>990</v>
      </c>
      <c r="AJ46" s="14">
        <f t="shared" si="158"/>
        <v>990</v>
      </c>
      <c r="AK46" s="14">
        <f t="shared" si="158"/>
        <v>990</v>
      </c>
      <c r="AL46" s="14">
        <f t="shared" si="158"/>
        <v>990</v>
      </c>
      <c r="AM46" s="14">
        <f t="shared" si="158"/>
        <v>990</v>
      </c>
    </row>
    <row r="47" spans="1:39" x14ac:dyDescent="0.35">
      <c r="B47" s="1">
        <v>149</v>
      </c>
      <c r="C47" s="2" t="s">
        <v>65</v>
      </c>
      <c r="D47" s="2" t="s">
        <v>1</v>
      </c>
      <c r="E47" s="2" t="s">
        <v>66</v>
      </c>
      <c r="F47" s="2" t="s">
        <v>168</v>
      </c>
      <c r="G47" s="6">
        <v>21000</v>
      </c>
      <c r="I47" s="6">
        <v>21000</v>
      </c>
      <c r="J47" s="6">
        <v>21000</v>
      </c>
      <c r="K47" s="6">
        <v>21000</v>
      </c>
      <c r="L47" s="5"/>
      <c r="M47" s="5"/>
      <c r="N47" s="170"/>
      <c r="O47" s="17">
        <f>ROUND(M47/9,-1)</f>
        <v>0</v>
      </c>
      <c r="P47" s="14">
        <f t="shared" si="150"/>
        <v>0</v>
      </c>
      <c r="Q47" s="17">
        <f>ROUND(M47/16,-1)</f>
        <v>0</v>
      </c>
      <c r="R47" s="14">
        <f t="shared" si="151"/>
        <v>0</v>
      </c>
      <c r="S47" s="14">
        <f t="shared" si="152"/>
        <v>0</v>
      </c>
      <c r="T47" s="17">
        <f>ROUND(M47/20,-1)</f>
        <v>0</v>
      </c>
      <c r="U47" s="14">
        <f t="shared" si="153"/>
        <v>0</v>
      </c>
      <c r="V47" s="14">
        <f t="shared" si="154"/>
        <v>0</v>
      </c>
      <c r="W47" s="17">
        <f>ROUND(M47/24,-1)</f>
        <v>0</v>
      </c>
      <c r="X47" s="14">
        <f t="shared" si="155"/>
        <v>0</v>
      </c>
      <c r="Y47" s="14">
        <f t="shared" si="156"/>
        <v>0</v>
      </c>
      <c r="Z47" s="14">
        <f t="shared" si="157"/>
        <v>0</v>
      </c>
      <c r="AA47" s="17">
        <f>ROUND(M47/30,-1)</f>
        <v>0</v>
      </c>
      <c r="AB47" s="14">
        <f t="shared" si="158"/>
        <v>0</v>
      </c>
      <c r="AC47" s="14">
        <f t="shared" si="158"/>
        <v>0</v>
      </c>
      <c r="AD47" s="14">
        <f t="shared" si="158"/>
        <v>0</v>
      </c>
      <c r="AE47" s="14">
        <f t="shared" si="158"/>
        <v>0</v>
      </c>
      <c r="AF47" s="14">
        <f t="shared" si="158"/>
        <v>0</v>
      </c>
      <c r="AG47" s="14">
        <f t="shared" si="158"/>
        <v>0</v>
      </c>
      <c r="AH47" s="14">
        <f t="shared" si="158"/>
        <v>0</v>
      </c>
      <c r="AI47" s="14">
        <f t="shared" si="158"/>
        <v>0</v>
      </c>
      <c r="AJ47" s="14">
        <f t="shared" si="158"/>
        <v>0</v>
      </c>
      <c r="AK47" s="14">
        <f t="shared" si="158"/>
        <v>0</v>
      </c>
      <c r="AL47" s="14">
        <f t="shared" si="158"/>
        <v>0</v>
      </c>
      <c r="AM47" s="14">
        <f t="shared" si="158"/>
        <v>0</v>
      </c>
    </row>
    <row r="48" spans="1:39" x14ac:dyDescent="0.35">
      <c r="B48" s="1">
        <v>24</v>
      </c>
      <c r="C48" s="164" t="s">
        <v>67</v>
      </c>
      <c r="D48" s="2" t="s">
        <v>1</v>
      </c>
      <c r="E48" s="2" t="s">
        <v>68</v>
      </c>
      <c r="F48" s="2" t="s">
        <v>168</v>
      </c>
      <c r="G48" s="6">
        <v>21000</v>
      </c>
      <c r="H48" s="6">
        <v>28000</v>
      </c>
      <c r="I48" s="6">
        <v>21000</v>
      </c>
      <c r="J48" s="6">
        <v>21000</v>
      </c>
      <c r="K48" s="6">
        <v>21000</v>
      </c>
      <c r="L48" s="163">
        <v>21000</v>
      </c>
      <c r="M48" s="163">
        <f>N48*1.2</f>
        <v>52843.199999999997</v>
      </c>
      <c r="N48" s="173">
        <v>44036</v>
      </c>
      <c r="O48" s="17">
        <f>ROUND(M48/9,-1)</f>
        <v>5870</v>
      </c>
      <c r="P48" s="14">
        <f t="shared" si="150"/>
        <v>5870</v>
      </c>
      <c r="Q48" s="17">
        <f>ROUND(M48/16,-1)</f>
        <v>3300</v>
      </c>
      <c r="R48" s="14">
        <f t="shared" si="151"/>
        <v>3300</v>
      </c>
      <c r="S48" s="14">
        <f t="shared" si="152"/>
        <v>3300</v>
      </c>
      <c r="T48" s="17">
        <f>ROUND(M48/20,-1)</f>
        <v>2640</v>
      </c>
      <c r="U48" s="14">
        <f t="shared" si="153"/>
        <v>2640</v>
      </c>
      <c r="V48" s="14">
        <f t="shared" si="154"/>
        <v>2640</v>
      </c>
      <c r="W48" s="17">
        <f>ROUND(M48/24,-1)</f>
        <v>2200</v>
      </c>
      <c r="X48" s="14">
        <f t="shared" si="155"/>
        <v>2200</v>
      </c>
      <c r="Y48" s="14">
        <f t="shared" si="156"/>
        <v>2200</v>
      </c>
      <c r="Z48" s="14">
        <f t="shared" si="157"/>
        <v>2200</v>
      </c>
      <c r="AA48" s="17">
        <f>ROUND(M48/30,-1)</f>
        <v>1760</v>
      </c>
      <c r="AB48" s="14">
        <f t="shared" si="158"/>
        <v>1760</v>
      </c>
      <c r="AC48" s="14">
        <f t="shared" si="158"/>
        <v>1760</v>
      </c>
      <c r="AD48" s="14">
        <f t="shared" si="158"/>
        <v>1760</v>
      </c>
      <c r="AE48" s="14">
        <f t="shared" si="158"/>
        <v>1760</v>
      </c>
      <c r="AF48" s="14">
        <f t="shared" si="158"/>
        <v>1760</v>
      </c>
      <c r="AG48" s="14">
        <f t="shared" si="158"/>
        <v>1760</v>
      </c>
      <c r="AH48" s="14">
        <f t="shared" si="158"/>
        <v>1760</v>
      </c>
      <c r="AI48" s="14">
        <f t="shared" si="158"/>
        <v>1760</v>
      </c>
      <c r="AJ48" s="14">
        <f t="shared" si="158"/>
        <v>1760</v>
      </c>
      <c r="AK48" s="14">
        <f t="shared" si="158"/>
        <v>1760</v>
      </c>
      <c r="AL48" s="14">
        <f t="shared" si="158"/>
        <v>1760</v>
      </c>
      <c r="AM48" s="14">
        <f t="shared" si="158"/>
        <v>1760</v>
      </c>
    </row>
    <row r="49" spans="1:39" ht="13.9" customHeight="1" x14ac:dyDescent="0.35">
      <c r="B49" s="1">
        <v>25</v>
      </c>
      <c r="C49" s="164" t="s">
        <v>69</v>
      </c>
      <c r="D49" s="2" t="s">
        <v>1</v>
      </c>
      <c r="E49" s="2" t="s">
        <v>66</v>
      </c>
      <c r="F49" s="2" t="s">
        <v>168</v>
      </c>
      <c r="G49" s="6">
        <v>36000</v>
      </c>
      <c r="H49" s="6">
        <v>49000</v>
      </c>
      <c r="I49" s="6">
        <v>36000</v>
      </c>
      <c r="J49" s="6">
        <v>36000</v>
      </c>
      <c r="K49" s="6">
        <v>36000</v>
      </c>
      <c r="L49" s="163">
        <v>36000</v>
      </c>
      <c r="M49" s="163">
        <v>156000</v>
      </c>
      <c r="N49" s="173">
        <v>134771</v>
      </c>
      <c r="O49" s="17">
        <f>ROUND(M49/9,-1)</f>
        <v>17330</v>
      </c>
      <c r="P49" s="14">
        <f t="shared" si="150"/>
        <v>17330</v>
      </c>
      <c r="Q49" s="17">
        <f>ROUND(M49/16,-1)</f>
        <v>9750</v>
      </c>
      <c r="R49" s="14">
        <f t="shared" si="151"/>
        <v>9750</v>
      </c>
      <c r="S49" s="14">
        <f t="shared" si="152"/>
        <v>9750</v>
      </c>
      <c r="T49" s="17">
        <f>ROUND(M49/25,-1)</f>
        <v>6240</v>
      </c>
      <c r="U49" s="14">
        <f t="shared" si="153"/>
        <v>6240</v>
      </c>
      <c r="V49" s="14">
        <f t="shared" si="154"/>
        <v>6240</v>
      </c>
      <c r="W49" s="17">
        <f>ROUND(M49/30,-1)</f>
        <v>5200</v>
      </c>
      <c r="X49" s="14">
        <f t="shared" si="155"/>
        <v>5200</v>
      </c>
      <c r="Y49" s="14">
        <f t="shared" si="156"/>
        <v>5200</v>
      </c>
      <c r="Z49" s="14">
        <f t="shared" si="157"/>
        <v>5200</v>
      </c>
      <c r="AA49" s="17">
        <f>ROUND(M49/30,-1)</f>
        <v>5200</v>
      </c>
      <c r="AB49" s="14">
        <f t="shared" si="158"/>
        <v>5200</v>
      </c>
      <c r="AC49" s="14">
        <f t="shared" si="158"/>
        <v>5200</v>
      </c>
      <c r="AD49" s="14">
        <f t="shared" si="158"/>
        <v>5200</v>
      </c>
      <c r="AE49" s="14">
        <f t="shared" si="158"/>
        <v>5200</v>
      </c>
      <c r="AF49" s="14">
        <f t="shared" si="158"/>
        <v>5200</v>
      </c>
      <c r="AG49" s="14">
        <f t="shared" si="158"/>
        <v>5200</v>
      </c>
      <c r="AH49" s="14">
        <f t="shared" si="158"/>
        <v>5200</v>
      </c>
      <c r="AI49" s="14">
        <f t="shared" si="158"/>
        <v>5200</v>
      </c>
      <c r="AJ49" s="14">
        <f t="shared" si="158"/>
        <v>5200</v>
      </c>
      <c r="AK49" s="14">
        <f t="shared" si="158"/>
        <v>5200</v>
      </c>
      <c r="AL49" s="14">
        <f t="shared" si="158"/>
        <v>5200</v>
      </c>
      <c r="AM49" s="14">
        <f t="shared" si="158"/>
        <v>5200</v>
      </c>
    </row>
    <row r="50" spans="1:39" x14ac:dyDescent="0.35">
      <c r="A50" t="s">
        <v>178</v>
      </c>
      <c r="B50" s="1">
        <v>26</v>
      </c>
      <c r="C50" s="2" t="s">
        <v>70</v>
      </c>
      <c r="D50" s="2" t="s">
        <v>1</v>
      </c>
      <c r="E50" s="2" t="s">
        <v>71</v>
      </c>
      <c r="F50" s="2" t="s">
        <v>168</v>
      </c>
      <c r="L50" s="5"/>
      <c r="M50" s="5"/>
      <c r="N50" s="170"/>
      <c r="O50" s="16"/>
      <c r="P50" s="14">
        <f t="shared" si="150"/>
        <v>0</v>
      </c>
      <c r="Q50" s="17">
        <f>ROUND(M50/13,-1)</f>
        <v>0</v>
      </c>
      <c r="R50" s="14">
        <f t="shared" si="151"/>
        <v>0</v>
      </c>
      <c r="S50" s="14">
        <f t="shared" si="152"/>
        <v>0</v>
      </c>
      <c r="T50" s="17">
        <f>ROUND(M50/16,-1)</f>
        <v>0</v>
      </c>
      <c r="U50" s="14">
        <f t="shared" si="153"/>
        <v>0</v>
      </c>
      <c r="V50" s="14">
        <f t="shared" si="154"/>
        <v>0</v>
      </c>
      <c r="W50" s="17">
        <f>ROUND(M50/20,-1)</f>
        <v>0</v>
      </c>
      <c r="X50" s="14">
        <f t="shared" si="155"/>
        <v>0</v>
      </c>
      <c r="Y50" s="14">
        <f t="shared" si="156"/>
        <v>0</v>
      </c>
      <c r="Z50" s="14">
        <f t="shared" si="157"/>
        <v>0</v>
      </c>
      <c r="AA50" s="17">
        <f>ROUND(M50/24,-1)</f>
        <v>0</v>
      </c>
      <c r="AB50" s="14">
        <f t="shared" si="158"/>
        <v>0</v>
      </c>
      <c r="AC50" s="14">
        <f t="shared" si="158"/>
        <v>0</v>
      </c>
      <c r="AD50" s="14">
        <f t="shared" si="158"/>
        <v>0</v>
      </c>
      <c r="AE50" s="14">
        <f t="shared" si="158"/>
        <v>0</v>
      </c>
      <c r="AF50" s="14">
        <f t="shared" si="158"/>
        <v>0</v>
      </c>
      <c r="AG50" s="14">
        <f t="shared" si="158"/>
        <v>0</v>
      </c>
      <c r="AH50" s="14">
        <f t="shared" si="158"/>
        <v>0</v>
      </c>
      <c r="AI50" s="14">
        <f t="shared" si="158"/>
        <v>0</v>
      </c>
      <c r="AJ50" s="14">
        <f t="shared" si="158"/>
        <v>0</v>
      </c>
      <c r="AK50" s="14">
        <f t="shared" si="158"/>
        <v>0</v>
      </c>
      <c r="AL50" s="14">
        <f t="shared" si="158"/>
        <v>0</v>
      </c>
      <c r="AM50" s="14">
        <f t="shared" si="158"/>
        <v>0</v>
      </c>
    </row>
    <row r="51" spans="1:39" x14ac:dyDescent="0.35">
      <c r="B51" s="1">
        <v>27</v>
      </c>
      <c r="C51" s="164" t="s">
        <v>72</v>
      </c>
      <c r="D51" s="2" t="s">
        <v>1</v>
      </c>
      <c r="E51" s="2" t="s">
        <v>73</v>
      </c>
      <c r="F51" s="2" t="s">
        <v>168</v>
      </c>
      <c r="G51" s="6">
        <v>18000</v>
      </c>
      <c r="H51" s="6">
        <v>18000</v>
      </c>
      <c r="I51" s="6">
        <v>18000</v>
      </c>
      <c r="J51" s="6">
        <v>18000</v>
      </c>
      <c r="K51" s="6">
        <v>18000</v>
      </c>
      <c r="L51" s="163">
        <v>20000</v>
      </c>
      <c r="M51" s="163">
        <v>30000</v>
      </c>
      <c r="N51" s="169" t="s">
        <v>346</v>
      </c>
      <c r="O51" s="17">
        <f>ROUND(M51/9,-1)</f>
        <v>3330</v>
      </c>
      <c r="P51" s="14">
        <f t="shared" si="150"/>
        <v>3330</v>
      </c>
      <c r="Q51" s="17">
        <f>ROUND(M51/13,-1)</f>
        <v>2310</v>
      </c>
      <c r="R51" s="14">
        <f t="shared" si="151"/>
        <v>2310</v>
      </c>
      <c r="S51" s="14">
        <f t="shared" si="152"/>
        <v>2310</v>
      </c>
      <c r="T51" s="17">
        <f>ROUND(M51/16,-1)</f>
        <v>1880</v>
      </c>
      <c r="U51" s="14">
        <f t="shared" si="153"/>
        <v>1880</v>
      </c>
      <c r="V51" s="14">
        <f t="shared" si="154"/>
        <v>1880</v>
      </c>
      <c r="W51" s="17">
        <f>ROUND(M51/20,-1)</f>
        <v>1500</v>
      </c>
      <c r="X51" s="14">
        <f t="shared" si="155"/>
        <v>1500</v>
      </c>
      <c r="Y51" s="14">
        <f t="shared" si="156"/>
        <v>1500</v>
      </c>
      <c r="Z51" s="14">
        <f t="shared" si="157"/>
        <v>1500</v>
      </c>
      <c r="AA51" s="17">
        <f>ROUND(M51/24,-1)</f>
        <v>1250</v>
      </c>
      <c r="AB51" s="14">
        <f t="shared" si="158"/>
        <v>1250</v>
      </c>
      <c r="AC51" s="14">
        <f t="shared" si="158"/>
        <v>1250</v>
      </c>
      <c r="AD51" s="14">
        <f t="shared" si="158"/>
        <v>1250</v>
      </c>
      <c r="AE51" s="14">
        <f t="shared" si="158"/>
        <v>1250</v>
      </c>
      <c r="AF51" s="14">
        <f t="shared" si="158"/>
        <v>1250</v>
      </c>
      <c r="AG51" s="14">
        <f t="shared" si="158"/>
        <v>1250</v>
      </c>
      <c r="AH51" s="14">
        <f t="shared" si="158"/>
        <v>1250</v>
      </c>
      <c r="AI51" s="14">
        <f t="shared" si="158"/>
        <v>1250</v>
      </c>
      <c r="AJ51" s="14">
        <f t="shared" si="158"/>
        <v>1250</v>
      </c>
      <c r="AK51" s="14">
        <f t="shared" si="158"/>
        <v>1250</v>
      </c>
      <c r="AL51" s="14">
        <f t="shared" si="158"/>
        <v>1250</v>
      </c>
      <c r="AM51" s="14">
        <f t="shared" si="158"/>
        <v>1250</v>
      </c>
    </row>
    <row r="52" spans="1:39" x14ac:dyDescent="0.35">
      <c r="B52" s="11">
        <v>134</v>
      </c>
      <c r="C52" s="164" t="s">
        <v>74</v>
      </c>
      <c r="D52" s="12" t="s">
        <v>13</v>
      </c>
      <c r="E52" s="12"/>
      <c r="F52" s="12" t="s">
        <v>169</v>
      </c>
      <c r="G52" s="6">
        <v>2663</v>
      </c>
      <c r="H52" s="6">
        <v>7600</v>
      </c>
      <c r="I52" s="155">
        <v>7600</v>
      </c>
      <c r="J52" s="155">
        <v>9500</v>
      </c>
      <c r="K52" s="155">
        <v>9500</v>
      </c>
      <c r="L52" s="167"/>
      <c r="M52" s="167"/>
      <c r="N52" s="170"/>
      <c r="O52" s="18">
        <f>ROUND(M52/6,-1)</f>
        <v>0</v>
      </c>
      <c r="P52" s="14">
        <f t="shared" si="150"/>
        <v>0</v>
      </c>
      <c r="Q52" s="18">
        <f>ROUND(M52/9,-1)</f>
        <v>0</v>
      </c>
      <c r="R52" s="14">
        <f>Q52</f>
        <v>0</v>
      </c>
      <c r="S52" s="14">
        <f>Q52</f>
        <v>0</v>
      </c>
      <c r="T52" s="18">
        <f>ROUND(M52/11,-1)</f>
        <v>0</v>
      </c>
      <c r="U52" s="14">
        <f>T52</f>
        <v>0</v>
      </c>
      <c r="V52" s="14">
        <f>T52</f>
        <v>0</v>
      </c>
      <c r="W52" s="18">
        <f>ROUND(M52/13,-1)</f>
        <v>0</v>
      </c>
      <c r="X52" s="14">
        <f>W52</f>
        <v>0</v>
      </c>
      <c r="Y52" s="14">
        <f>W52</f>
        <v>0</v>
      </c>
      <c r="Z52" s="14">
        <f>W52</f>
        <v>0</v>
      </c>
      <c r="AA52" s="18">
        <f>ROUND(M52/15,-1)</f>
        <v>0</v>
      </c>
      <c r="AB52" s="14">
        <f>AA52</f>
        <v>0</v>
      </c>
      <c r="AC52" s="14">
        <f t="shared" ref="AC52:AM55" si="159">AB52</f>
        <v>0</v>
      </c>
      <c r="AD52" s="14">
        <f t="shared" si="159"/>
        <v>0</v>
      </c>
      <c r="AE52" s="14">
        <f t="shared" si="159"/>
        <v>0</v>
      </c>
      <c r="AF52" s="14">
        <f t="shared" si="159"/>
        <v>0</v>
      </c>
      <c r="AG52" s="14">
        <f t="shared" si="159"/>
        <v>0</v>
      </c>
      <c r="AH52" s="14">
        <f t="shared" si="159"/>
        <v>0</v>
      </c>
      <c r="AI52" s="14">
        <f t="shared" si="159"/>
        <v>0</v>
      </c>
      <c r="AJ52" s="14">
        <f t="shared" si="159"/>
        <v>0</v>
      </c>
      <c r="AK52" s="14">
        <f t="shared" si="159"/>
        <v>0</v>
      </c>
      <c r="AL52" s="14">
        <f t="shared" si="159"/>
        <v>0</v>
      </c>
      <c r="AM52" s="14">
        <f t="shared" si="159"/>
        <v>0</v>
      </c>
    </row>
    <row r="53" spans="1:39" x14ac:dyDescent="0.35">
      <c r="B53" s="1">
        <v>137</v>
      </c>
      <c r="C53" s="12" t="s">
        <v>75</v>
      </c>
      <c r="D53" s="2" t="s">
        <v>1</v>
      </c>
      <c r="E53" s="2"/>
      <c r="F53" s="2" t="s">
        <v>168</v>
      </c>
      <c r="G53" s="6">
        <v>9000</v>
      </c>
      <c r="H53" s="6">
        <v>13000</v>
      </c>
      <c r="I53" s="155">
        <v>13000</v>
      </c>
      <c r="J53" s="155">
        <v>13000</v>
      </c>
      <c r="K53" s="155">
        <v>13000</v>
      </c>
      <c r="L53" s="167"/>
      <c r="M53" s="167"/>
      <c r="N53" s="170"/>
      <c r="O53" s="17">
        <f>ROUND(M53/1,-1)</f>
        <v>0</v>
      </c>
      <c r="P53" s="14">
        <f t="shared" si="150"/>
        <v>0</v>
      </c>
      <c r="Q53" s="17">
        <f>ROUND(M53/3,-1)</f>
        <v>0</v>
      </c>
      <c r="R53" s="14">
        <f>Q53</f>
        <v>0</v>
      </c>
      <c r="S53" s="14">
        <f>Q53</f>
        <v>0</v>
      </c>
      <c r="T53" s="17">
        <f>ROUND(M53/6,-1)</f>
        <v>0</v>
      </c>
      <c r="U53" s="14">
        <f>T53</f>
        <v>0</v>
      </c>
      <c r="V53" s="14">
        <f>T53</f>
        <v>0</v>
      </c>
      <c r="W53" s="17">
        <f>ROUND(M53/8,-1)</f>
        <v>0</v>
      </c>
      <c r="X53" s="14">
        <f>W53</f>
        <v>0</v>
      </c>
      <c r="Y53" s="14">
        <f>W53</f>
        <v>0</v>
      </c>
      <c r="Z53" s="14">
        <f>W53</f>
        <v>0</v>
      </c>
      <c r="AA53" s="17">
        <f>ROUND(M53/11,-1)</f>
        <v>0</v>
      </c>
      <c r="AB53" s="14">
        <f>AA53</f>
        <v>0</v>
      </c>
      <c r="AC53" s="14">
        <f t="shared" si="159"/>
        <v>0</v>
      </c>
      <c r="AD53" s="14">
        <f t="shared" si="159"/>
        <v>0</v>
      </c>
      <c r="AE53" s="14">
        <f t="shared" si="159"/>
        <v>0</v>
      </c>
      <c r="AF53" s="14">
        <f t="shared" si="159"/>
        <v>0</v>
      </c>
      <c r="AG53" s="14">
        <f t="shared" si="159"/>
        <v>0</v>
      </c>
      <c r="AH53" s="14">
        <f t="shared" si="159"/>
        <v>0</v>
      </c>
      <c r="AI53" s="14">
        <f t="shared" si="159"/>
        <v>0</v>
      </c>
      <c r="AJ53" s="14">
        <f t="shared" si="159"/>
        <v>0</v>
      </c>
      <c r="AK53" s="14">
        <f t="shared" si="159"/>
        <v>0</v>
      </c>
      <c r="AL53" s="14">
        <f t="shared" si="159"/>
        <v>0</v>
      </c>
      <c r="AM53" s="14">
        <f t="shared" si="159"/>
        <v>0</v>
      </c>
    </row>
    <row r="54" spans="1:39" x14ac:dyDescent="0.35">
      <c r="A54" s="161">
        <v>44470</v>
      </c>
      <c r="B54" s="7">
        <v>29</v>
      </c>
      <c r="C54" s="164" t="s">
        <v>76</v>
      </c>
      <c r="D54" s="2" t="s">
        <v>1</v>
      </c>
      <c r="E54" s="2" t="s">
        <v>77</v>
      </c>
      <c r="F54" s="2" t="s">
        <v>168</v>
      </c>
      <c r="G54" s="6">
        <v>60000</v>
      </c>
      <c r="H54" s="6">
        <v>120000</v>
      </c>
      <c r="I54" s="155">
        <v>120000</v>
      </c>
      <c r="J54" s="155">
        <v>400000</v>
      </c>
      <c r="K54" s="6">
        <v>400000</v>
      </c>
      <c r="L54" s="155">
        <v>240000</v>
      </c>
      <c r="M54" s="155">
        <v>240000</v>
      </c>
      <c r="N54" s="169">
        <v>178934</v>
      </c>
      <c r="O54" s="17">
        <f>ROUND(M54/23,-1)</f>
        <v>10430</v>
      </c>
      <c r="P54" s="14">
        <f t="shared" si="150"/>
        <v>10430</v>
      </c>
      <c r="Q54" s="17">
        <f>ROUND(M54/23,-1)</f>
        <v>10430</v>
      </c>
      <c r="R54" s="14">
        <f t="shared" ref="R54" si="160">Q54</f>
        <v>10430</v>
      </c>
      <c r="S54" s="14">
        <f t="shared" ref="S54" si="161">Q54</f>
        <v>10430</v>
      </c>
      <c r="T54" s="17">
        <f>ROUND(M54/23,-1)</f>
        <v>10430</v>
      </c>
      <c r="U54" s="14">
        <f t="shared" ref="U54" si="162">T54</f>
        <v>10430</v>
      </c>
      <c r="V54" s="14">
        <f t="shared" ref="V54" si="163">T54</f>
        <v>10430</v>
      </c>
      <c r="W54" s="17">
        <f>ROUND(M54/23,-1)</f>
        <v>10430</v>
      </c>
      <c r="X54" s="14">
        <f t="shared" ref="X54" si="164">W54</f>
        <v>10430</v>
      </c>
      <c r="Y54" s="14">
        <f t="shared" ref="Y54" si="165">W54</f>
        <v>10430</v>
      </c>
      <c r="Z54" s="14">
        <f t="shared" ref="Z54" si="166">W54</f>
        <v>10430</v>
      </c>
      <c r="AA54" s="17">
        <f>ROUND(M54/30,-1)</f>
        <v>8000</v>
      </c>
      <c r="AB54" s="14">
        <f t="shared" ref="AB54:AB55" si="167">AA54</f>
        <v>8000</v>
      </c>
      <c r="AC54" s="14">
        <f t="shared" si="159"/>
        <v>8000</v>
      </c>
      <c r="AD54" s="14">
        <f t="shared" si="159"/>
        <v>8000</v>
      </c>
      <c r="AE54" s="14">
        <f t="shared" si="159"/>
        <v>8000</v>
      </c>
      <c r="AF54" s="14">
        <f t="shared" si="159"/>
        <v>8000</v>
      </c>
      <c r="AG54" s="14">
        <f t="shared" si="159"/>
        <v>8000</v>
      </c>
      <c r="AH54" s="14">
        <f t="shared" si="159"/>
        <v>8000</v>
      </c>
      <c r="AI54" s="14">
        <f t="shared" si="159"/>
        <v>8000</v>
      </c>
      <c r="AJ54" s="14">
        <f t="shared" si="159"/>
        <v>8000</v>
      </c>
      <c r="AK54" s="14">
        <f t="shared" si="159"/>
        <v>8000</v>
      </c>
      <c r="AL54" s="14">
        <f t="shared" si="159"/>
        <v>8000</v>
      </c>
      <c r="AM54" s="14">
        <f t="shared" si="159"/>
        <v>8000</v>
      </c>
    </row>
    <row r="55" spans="1:39" ht="21" x14ac:dyDescent="0.35">
      <c r="A55" s="161">
        <v>44470</v>
      </c>
      <c r="B55" s="7">
        <v>28</v>
      </c>
      <c r="C55" s="164" t="s">
        <v>78</v>
      </c>
      <c r="D55" s="2" t="s">
        <v>1</v>
      </c>
      <c r="E55" s="2" t="s">
        <v>79</v>
      </c>
      <c r="F55" s="2" t="s">
        <v>168</v>
      </c>
      <c r="G55" s="6">
        <v>250000</v>
      </c>
      <c r="H55" s="6">
        <v>750000</v>
      </c>
      <c r="I55" s="6">
        <v>250000</v>
      </c>
      <c r="J55" s="6">
        <v>800000</v>
      </c>
      <c r="K55" s="6">
        <v>700000</v>
      </c>
      <c r="L55" s="155">
        <v>850000</v>
      </c>
      <c r="M55" s="155">
        <v>850000</v>
      </c>
      <c r="N55" s="169" t="s">
        <v>347</v>
      </c>
      <c r="O55" s="17">
        <f>ROUND(M55/23,-1)</f>
        <v>36960</v>
      </c>
      <c r="P55" s="14">
        <f t="shared" si="150"/>
        <v>36960</v>
      </c>
      <c r="Q55" s="17">
        <f>ROUND(M55/23,-1)</f>
        <v>36960</v>
      </c>
      <c r="R55" s="14">
        <f t="shared" ref="R55" si="168">Q55</f>
        <v>36960</v>
      </c>
      <c r="S55" s="14">
        <f t="shared" ref="S55" si="169">Q55</f>
        <v>36960</v>
      </c>
      <c r="T55" s="17">
        <f>ROUND(M55/23,-1)</f>
        <v>36960</v>
      </c>
      <c r="U55" s="14">
        <f t="shared" ref="U55" si="170">T55</f>
        <v>36960</v>
      </c>
      <c r="V55" s="14">
        <f t="shared" ref="V55" si="171">T55</f>
        <v>36960</v>
      </c>
      <c r="W55" s="17">
        <f>ROUND(M55/23,-1)</f>
        <v>36960</v>
      </c>
      <c r="X55" s="14">
        <f t="shared" ref="X55" si="172">W55</f>
        <v>36960</v>
      </c>
      <c r="Y55" s="14">
        <f t="shared" ref="Y55" si="173">W55</f>
        <v>36960</v>
      </c>
      <c r="Z55" s="14">
        <f t="shared" ref="Z55" si="174">W55</f>
        <v>36960</v>
      </c>
      <c r="AA55" s="17">
        <f>ROUND(M55/37,-1)</f>
        <v>22970</v>
      </c>
      <c r="AB55" s="14">
        <f t="shared" si="167"/>
        <v>22970</v>
      </c>
      <c r="AC55" s="14">
        <f t="shared" si="159"/>
        <v>22970</v>
      </c>
      <c r="AD55" s="14">
        <f t="shared" si="159"/>
        <v>22970</v>
      </c>
      <c r="AE55" s="14">
        <f t="shared" si="159"/>
        <v>22970</v>
      </c>
      <c r="AF55" s="14">
        <f t="shared" si="159"/>
        <v>22970</v>
      </c>
      <c r="AG55" s="14">
        <f t="shared" si="159"/>
        <v>22970</v>
      </c>
      <c r="AH55" s="14">
        <f t="shared" si="159"/>
        <v>22970</v>
      </c>
      <c r="AI55" s="14">
        <f t="shared" si="159"/>
        <v>22970</v>
      </c>
      <c r="AJ55" s="14">
        <f t="shared" si="159"/>
        <v>22970</v>
      </c>
      <c r="AK55" s="14">
        <f t="shared" si="159"/>
        <v>22970</v>
      </c>
      <c r="AL55" s="14">
        <f t="shared" si="159"/>
        <v>22970</v>
      </c>
      <c r="AM55" s="14">
        <f t="shared" si="159"/>
        <v>22970</v>
      </c>
    </row>
    <row r="56" spans="1:39" hidden="1" x14ac:dyDescent="0.35">
      <c r="B56" s="1">
        <v>99</v>
      </c>
      <c r="C56" s="2" t="s">
        <v>80</v>
      </c>
      <c r="D56" s="2" t="s">
        <v>81</v>
      </c>
      <c r="E56" s="2"/>
      <c r="F56" s="2" t="s">
        <v>167</v>
      </c>
      <c r="L56" s="5"/>
      <c r="M56" s="5"/>
      <c r="N56" s="170"/>
      <c r="O56" s="16"/>
      <c r="P56" s="14"/>
      <c r="Q56" s="16"/>
      <c r="R56" s="14"/>
      <c r="S56" s="14"/>
      <c r="T56" s="16"/>
      <c r="U56" s="14"/>
      <c r="V56" s="14"/>
      <c r="W56" s="16"/>
      <c r="X56" s="14"/>
      <c r="Y56" s="14"/>
      <c r="Z56" s="14"/>
      <c r="AA56" s="16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</row>
    <row r="57" spans="1:39" hidden="1" x14ac:dyDescent="0.35">
      <c r="A57" t="s">
        <v>178</v>
      </c>
      <c r="B57" s="1">
        <v>106</v>
      </c>
      <c r="C57" s="2" t="s">
        <v>82</v>
      </c>
      <c r="D57" s="4" t="s">
        <v>166</v>
      </c>
      <c r="E57" s="2" t="s">
        <v>83</v>
      </c>
      <c r="F57" s="2" t="s">
        <v>171</v>
      </c>
      <c r="L57" s="5"/>
      <c r="M57" s="5"/>
      <c r="N57" s="170"/>
      <c r="O57" s="16"/>
      <c r="P57" s="14"/>
      <c r="Q57" s="16"/>
      <c r="R57" s="14"/>
      <c r="S57" s="14"/>
      <c r="T57" s="16"/>
      <c r="U57" s="14"/>
      <c r="V57" s="14"/>
      <c r="W57" s="16"/>
      <c r="X57" s="14"/>
      <c r="Y57" s="14"/>
      <c r="Z57" s="14"/>
      <c r="AA57" s="16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</row>
    <row r="58" spans="1:39" hidden="1" x14ac:dyDescent="0.35">
      <c r="B58" s="1">
        <v>130</v>
      </c>
      <c r="C58" s="2" t="s">
        <v>84</v>
      </c>
      <c r="D58" s="2" t="s">
        <v>13</v>
      </c>
      <c r="E58" s="2" t="s">
        <v>85</v>
      </c>
      <c r="F58" s="2" t="s">
        <v>169</v>
      </c>
      <c r="J58" s="6">
        <v>0</v>
      </c>
      <c r="K58" s="155">
        <v>0</v>
      </c>
      <c r="L58" s="5"/>
      <c r="M58" s="5"/>
      <c r="N58" s="170"/>
      <c r="O58" s="16"/>
      <c r="P58" s="14"/>
      <c r="Q58" s="16"/>
      <c r="R58" s="14"/>
      <c r="S58" s="14"/>
      <c r="T58" s="16"/>
      <c r="U58" s="14"/>
      <c r="V58" s="14"/>
      <c r="W58" s="16"/>
      <c r="X58" s="14"/>
      <c r="Y58" s="14"/>
      <c r="Z58" s="14"/>
      <c r="AA58" s="16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</row>
    <row r="59" spans="1:39" hidden="1" x14ac:dyDescent="0.35">
      <c r="B59" s="1">
        <v>161</v>
      </c>
      <c r="C59" s="2" t="s">
        <v>87</v>
      </c>
      <c r="D59" s="2" t="s">
        <v>1</v>
      </c>
      <c r="E59" s="2" t="s">
        <v>88</v>
      </c>
      <c r="F59" s="2" t="s">
        <v>168</v>
      </c>
      <c r="L59" s="5"/>
      <c r="M59" s="5"/>
      <c r="N59" s="170"/>
      <c r="O59" s="16"/>
      <c r="P59" s="14"/>
      <c r="Q59" s="16"/>
      <c r="R59" s="14"/>
      <c r="S59" s="14"/>
      <c r="T59" s="16"/>
      <c r="U59" s="14"/>
      <c r="V59" s="14"/>
      <c r="W59" s="16"/>
      <c r="X59" s="14"/>
      <c r="Y59" s="14"/>
      <c r="Z59" s="14"/>
      <c r="AA59" s="16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</row>
    <row r="60" spans="1:39" x14ac:dyDescent="0.35">
      <c r="B60" s="1">
        <v>74</v>
      </c>
      <c r="C60" s="8" t="s">
        <v>89</v>
      </c>
      <c r="D60" s="2" t="s">
        <v>1</v>
      </c>
      <c r="E60" s="2"/>
      <c r="F60" s="2" t="s">
        <v>168</v>
      </c>
      <c r="L60" s="5"/>
      <c r="M60" s="5"/>
      <c r="N60" s="169">
        <v>24000</v>
      </c>
      <c r="O60" s="16">
        <v>6700</v>
      </c>
      <c r="P60" s="14">
        <f t="shared" ref="P60:P65" si="175">O60</f>
        <v>6700</v>
      </c>
      <c r="Q60" s="16">
        <v>6700</v>
      </c>
      <c r="R60" s="14">
        <f t="shared" ref="R60:R64" si="176">Q60</f>
        <v>6700</v>
      </c>
      <c r="S60" s="14">
        <f t="shared" ref="S60:S64" si="177">Q60</f>
        <v>6700</v>
      </c>
      <c r="T60" s="16">
        <v>6700</v>
      </c>
      <c r="U60" s="14">
        <f t="shared" ref="U60:U64" si="178">T60</f>
        <v>6700</v>
      </c>
      <c r="V60" s="14">
        <f t="shared" ref="V60:V64" si="179">T60</f>
        <v>6700</v>
      </c>
      <c r="W60" s="16">
        <v>6700</v>
      </c>
      <c r="X60" s="14">
        <f t="shared" ref="X60:X64" si="180">W60</f>
        <v>6700</v>
      </c>
      <c r="Y60" s="14">
        <f t="shared" ref="Y60:Y64" si="181">W60</f>
        <v>6700</v>
      </c>
      <c r="Z60" s="14">
        <f t="shared" ref="Z60:Z64" si="182">W60</f>
        <v>6700</v>
      </c>
      <c r="AA60" s="16">
        <v>6700</v>
      </c>
      <c r="AB60" s="14">
        <f t="shared" ref="AB60:AB64" si="183">AA60</f>
        <v>6700</v>
      </c>
      <c r="AC60" s="14">
        <f t="shared" ref="AC60:AC65" si="184">AB60</f>
        <v>6700</v>
      </c>
      <c r="AD60" s="14">
        <f t="shared" ref="AD60:AD65" si="185">AC60</f>
        <v>6700</v>
      </c>
      <c r="AE60" s="14">
        <f t="shared" ref="AE60:AE65" si="186">AD60</f>
        <v>6700</v>
      </c>
      <c r="AF60" s="14">
        <f t="shared" ref="AF60:AF65" si="187">AE60</f>
        <v>6700</v>
      </c>
      <c r="AG60" s="14">
        <f t="shared" ref="AG60:AG65" si="188">AF60</f>
        <v>6700</v>
      </c>
      <c r="AH60" s="14">
        <f t="shared" ref="AH60:AH65" si="189">AG60</f>
        <v>6700</v>
      </c>
      <c r="AI60" s="14">
        <f t="shared" ref="AI60:AI65" si="190">AH60</f>
        <v>6700</v>
      </c>
      <c r="AJ60" s="14">
        <f t="shared" ref="AJ60:AJ65" si="191">AI60</f>
        <v>6700</v>
      </c>
      <c r="AK60" s="14">
        <f t="shared" ref="AK60:AK65" si="192">AJ60</f>
        <v>6700</v>
      </c>
      <c r="AL60" s="14">
        <f t="shared" ref="AL60:AL65" si="193">AK60</f>
        <v>6700</v>
      </c>
      <c r="AM60" s="14">
        <f t="shared" ref="AM60:AM65" si="194">AL60</f>
        <v>6700</v>
      </c>
    </row>
    <row r="61" spans="1:39" ht="20" customHeight="1" x14ac:dyDescent="0.35">
      <c r="B61" s="1">
        <v>32</v>
      </c>
      <c r="C61" s="2" t="s">
        <v>90</v>
      </c>
      <c r="D61" s="2" t="s">
        <v>1</v>
      </c>
      <c r="E61" s="2" t="s">
        <v>91</v>
      </c>
      <c r="F61" s="2" t="s">
        <v>168</v>
      </c>
      <c r="G61" s="6">
        <v>3900</v>
      </c>
      <c r="H61" s="6">
        <v>3900</v>
      </c>
      <c r="I61" s="6">
        <v>3900</v>
      </c>
      <c r="J61" s="6">
        <v>3900</v>
      </c>
      <c r="K61" s="6">
        <v>3900</v>
      </c>
      <c r="L61" s="5"/>
      <c r="M61" s="5"/>
      <c r="N61" s="170"/>
      <c r="O61" s="17">
        <f>ROUND(M61/6,-1)</f>
        <v>0</v>
      </c>
      <c r="P61" s="14">
        <f t="shared" si="175"/>
        <v>0</v>
      </c>
      <c r="Q61" s="17">
        <f>ROUND(M61/9,-1)</f>
        <v>0</v>
      </c>
      <c r="R61" s="14">
        <f t="shared" si="176"/>
        <v>0</v>
      </c>
      <c r="S61" s="14">
        <f t="shared" si="177"/>
        <v>0</v>
      </c>
      <c r="T61" s="17">
        <f>ROUND(M61/11,-1)</f>
        <v>0</v>
      </c>
      <c r="U61" s="14">
        <f t="shared" si="178"/>
        <v>0</v>
      </c>
      <c r="V61" s="14">
        <f t="shared" si="179"/>
        <v>0</v>
      </c>
      <c r="W61" s="17">
        <f>ROUND(M61/13,-1)</f>
        <v>0</v>
      </c>
      <c r="X61" s="14">
        <f t="shared" si="180"/>
        <v>0</v>
      </c>
      <c r="Y61" s="14">
        <f t="shared" si="181"/>
        <v>0</v>
      </c>
      <c r="Z61" s="14">
        <f t="shared" si="182"/>
        <v>0</v>
      </c>
      <c r="AA61" s="17">
        <f>ROUND(M61/15,-1)</f>
        <v>0</v>
      </c>
      <c r="AB61" s="14">
        <f t="shared" si="183"/>
        <v>0</v>
      </c>
      <c r="AC61" s="14">
        <f t="shared" si="184"/>
        <v>0</v>
      </c>
      <c r="AD61" s="14">
        <f t="shared" si="185"/>
        <v>0</v>
      </c>
      <c r="AE61" s="14">
        <f t="shared" si="186"/>
        <v>0</v>
      </c>
      <c r="AF61" s="14">
        <f t="shared" si="187"/>
        <v>0</v>
      </c>
      <c r="AG61" s="14">
        <f t="shared" si="188"/>
        <v>0</v>
      </c>
      <c r="AH61" s="14">
        <f t="shared" si="189"/>
        <v>0</v>
      </c>
      <c r="AI61" s="14">
        <f t="shared" si="190"/>
        <v>0</v>
      </c>
      <c r="AJ61" s="14">
        <f t="shared" si="191"/>
        <v>0</v>
      </c>
      <c r="AK61" s="14">
        <f t="shared" si="192"/>
        <v>0</v>
      </c>
      <c r="AL61" s="14">
        <f t="shared" si="193"/>
        <v>0</v>
      </c>
      <c r="AM61" s="14">
        <f t="shared" si="194"/>
        <v>0</v>
      </c>
    </row>
    <row r="62" spans="1:39" hidden="1" x14ac:dyDescent="0.35">
      <c r="B62" s="1">
        <v>70</v>
      </c>
      <c r="C62" s="2" t="s">
        <v>92</v>
      </c>
      <c r="D62" s="2" t="s">
        <v>93</v>
      </c>
      <c r="E62" s="2"/>
      <c r="F62" s="2" t="s">
        <v>168</v>
      </c>
      <c r="G62" s="6">
        <v>122000</v>
      </c>
      <c r="H62" s="6">
        <v>150000</v>
      </c>
      <c r="I62" s="6">
        <v>122000</v>
      </c>
      <c r="J62" s="6">
        <v>122000</v>
      </c>
      <c r="K62" s="6">
        <v>122000</v>
      </c>
      <c r="L62" s="5"/>
      <c r="M62" s="163">
        <v>260000</v>
      </c>
      <c r="O62" s="17">
        <f>ROUND(M62/11,-1)</f>
        <v>23640</v>
      </c>
      <c r="P62" s="14">
        <f t="shared" si="175"/>
        <v>23640</v>
      </c>
      <c r="Q62" s="17">
        <f>ROUND(M62/12,-1)</f>
        <v>21670</v>
      </c>
      <c r="R62" s="14">
        <f t="shared" si="176"/>
        <v>21670</v>
      </c>
      <c r="S62" s="14">
        <f t="shared" si="177"/>
        <v>21670</v>
      </c>
      <c r="T62" s="17">
        <f>ROUND(M62/13,-1)</f>
        <v>20000</v>
      </c>
      <c r="U62" s="14">
        <f t="shared" si="178"/>
        <v>20000</v>
      </c>
      <c r="V62" s="14">
        <f t="shared" si="179"/>
        <v>20000</v>
      </c>
      <c r="W62" s="17">
        <f>ROUND(M62/15,-1)</f>
        <v>17330</v>
      </c>
      <c r="X62" s="14">
        <f t="shared" si="180"/>
        <v>17330</v>
      </c>
      <c r="Y62" s="14">
        <f t="shared" si="181"/>
        <v>17330</v>
      </c>
      <c r="Z62" s="14">
        <f t="shared" si="182"/>
        <v>17330</v>
      </c>
      <c r="AA62" s="17">
        <f>ROUND(M62/16,-1)</f>
        <v>16250</v>
      </c>
      <c r="AB62" s="14">
        <f t="shared" si="183"/>
        <v>16250</v>
      </c>
      <c r="AC62" s="14">
        <f t="shared" si="184"/>
        <v>16250</v>
      </c>
      <c r="AD62" s="14">
        <f t="shared" si="185"/>
        <v>16250</v>
      </c>
      <c r="AE62" s="14">
        <f t="shared" si="186"/>
        <v>16250</v>
      </c>
      <c r="AF62" s="14">
        <f t="shared" si="187"/>
        <v>16250</v>
      </c>
      <c r="AG62" s="14">
        <f t="shared" si="188"/>
        <v>16250</v>
      </c>
      <c r="AH62" s="14">
        <f t="shared" si="189"/>
        <v>16250</v>
      </c>
      <c r="AI62" s="14">
        <f t="shared" si="190"/>
        <v>16250</v>
      </c>
      <c r="AJ62" s="14">
        <f t="shared" si="191"/>
        <v>16250</v>
      </c>
      <c r="AK62" s="14">
        <f t="shared" si="192"/>
        <v>16250</v>
      </c>
      <c r="AL62" s="14">
        <f t="shared" si="193"/>
        <v>16250</v>
      </c>
      <c r="AM62" s="14">
        <f t="shared" si="194"/>
        <v>16250</v>
      </c>
    </row>
    <row r="63" spans="1:39" hidden="1" x14ac:dyDescent="0.35">
      <c r="B63" s="1">
        <v>69</v>
      </c>
      <c r="C63" s="2" t="s">
        <v>94</v>
      </c>
      <c r="D63" s="2" t="s">
        <v>93</v>
      </c>
      <c r="E63" s="2"/>
      <c r="F63" s="2" t="s">
        <v>168</v>
      </c>
      <c r="G63" s="6">
        <v>122000</v>
      </c>
      <c r="H63" s="6">
        <v>150000</v>
      </c>
      <c r="I63" s="6">
        <v>122000</v>
      </c>
      <c r="J63" s="6">
        <v>122000</v>
      </c>
      <c r="K63" s="6">
        <v>122000</v>
      </c>
      <c r="L63" s="5"/>
      <c r="M63" s="163">
        <v>240000</v>
      </c>
      <c r="O63" s="17">
        <f>ROUND(M63/11,-1)</f>
        <v>21820</v>
      </c>
      <c r="P63" s="14">
        <f t="shared" si="175"/>
        <v>21820</v>
      </c>
      <c r="Q63" s="17">
        <f>ROUND(M63/12,-1)</f>
        <v>20000</v>
      </c>
      <c r="R63" s="14">
        <f t="shared" si="176"/>
        <v>20000</v>
      </c>
      <c r="S63" s="14">
        <f t="shared" si="177"/>
        <v>20000</v>
      </c>
      <c r="T63" s="17">
        <f>ROUND(M63/13,-1)</f>
        <v>18460</v>
      </c>
      <c r="U63" s="14">
        <f t="shared" si="178"/>
        <v>18460</v>
      </c>
      <c r="V63" s="14">
        <f t="shared" si="179"/>
        <v>18460</v>
      </c>
      <c r="W63" s="17">
        <f>ROUND(M63/15,-1)</f>
        <v>16000</v>
      </c>
      <c r="X63" s="14">
        <f t="shared" si="180"/>
        <v>16000</v>
      </c>
      <c r="Y63" s="14">
        <f t="shared" si="181"/>
        <v>16000</v>
      </c>
      <c r="Z63" s="14">
        <f t="shared" si="182"/>
        <v>16000</v>
      </c>
      <c r="AA63" s="17">
        <f>ROUND(M63/16,-1)</f>
        <v>15000</v>
      </c>
      <c r="AB63" s="14">
        <f t="shared" si="183"/>
        <v>15000</v>
      </c>
      <c r="AC63" s="14">
        <f t="shared" si="184"/>
        <v>15000</v>
      </c>
      <c r="AD63" s="14">
        <f t="shared" si="185"/>
        <v>15000</v>
      </c>
      <c r="AE63" s="14">
        <f t="shared" si="186"/>
        <v>15000</v>
      </c>
      <c r="AF63" s="14">
        <f t="shared" si="187"/>
        <v>15000</v>
      </c>
      <c r="AG63" s="14">
        <f t="shared" si="188"/>
        <v>15000</v>
      </c>
      <c r="AH63" s="14">
        <f t="shared" si="189"/>
        <v>15000</v>
      </c>
      <c r="AI63" s="14">
        <f t="shared" si="190"/>
        <v>15000</v>
      </c>
      <c r="AJ63" s="14">
        <f t="shared" si="191"/>
        <v>15000</v>
      </c>
      <c r="AK63" s="14">
        <f t="shared" si="192"/>
        <v>15000</v>
      </c>
      <c r="AL63" s="14">
        <f t="shared" si="193"/>
        <v>15000</v>
      </c>
      <c r="AM63" s="14">
        <f t="shared" si="194"/>
        <v>15000</v>
      </c>
    </row>
    <row r="64" spans="1:39" hidden="1" x14ac:dyDescent="0.35">
      <c r="B64" s="1">
        <v>114</v>
      </c>
      <c r="C64" s="2" t="s">
        <v>95</v>
      </c>
      <c r="D64" s="2" t="s">
        <v>93</v>
      </c>
      <c r="E64" s="2"/>
      <c r="F64" s="2" t="s">
        <v>168</v>
      </c>
      <c r="G64" s="6">
        <v>122000</v>
      </c>
      <c r="H64" s="6">
        <v>150000</v>
      </c>
      <c r="I64" s="6">
        <v>122000</v>
      </c>
      <c r="J64" s="6">
        <v>122000</v>
      </c>
      <c r="K64" s="6">
        <v>122000</v>
      </c>
      <c r="L64" s="5"/>
      <c r="M64" s="163">
        <v>250000</v>
      </c>
      <c r="O64" s="17">
        <f>ROUND(M64/11,-1)</f>
        <v>22730</v>
      </c>
      <c r="P64" s="14">
        <f t="shared" si="175"/>
        <v>22730</v>
      </c>
      <c r="Q64" s="17">
        <f>ROUND(M64/12,-1)</f>
        <v>20830</v>
      </c>
      <c r="R64" s="14">
        <f t="shared" si="176"/>
        <v>20830</v>
      </c>
      <c r="S64" s="14">
        <f t="shared" si="177"/>
        <v>20830</v>
      </c>
      <c r="T64" s="17">
        <f>ROUND(M64/13,-1)</f>
        <v>19230</v>
      </c>
      <c r="U64" s="14">
        <f t="shared" si="178"/>
        <v>19230</v>
      </c>
      <c r="V64" s="14">
        <f t="shared" si="179"/>
        <v>19230</v>
      </c>
      <c r="W64" s="17">
        <f>ROUND(M64/15,-1)</f>
        <v>16670</v>
      </c>
      <c r="X64" s="14">
        <f t="shared" si="180"/>
        <v>16670</v>
      </c>
      <c r="Y64" s="14">
        <f t="shared" si="181"/>
        <v>16670</v>
      </c>
      <c r="Z64" s="14">
        <f t="shared" si="182"/>
        <v>16670</v>
      </c>
      <c r="AA64" s="17">
        <f>ROUND(M64/16,-1)</f>
        <v>15630</v>
      </c>
      <c r="AB64" s="14">
        <f t="shared" si="183"/>
        <v>15630</v>
      </c>
      <c r="AC64" s="14">
        <f t="shared" si="184"/>
        <v>15630</v>
      </c>
      <c r="AD64" s="14">
        <f t="shared" si="185"/>
        <v>15630</v>
      </c>
      <c r="AE64" s="14">
        <f t="shared" si="186"/>
        <v>15630</v>
      </c>
      <c r="AF64" s="14">
        <f t="shared" si="187"/>
        <v>15630</v>
      </c>
      <c r="AG64" s="14">
        <f t="shared" si="188"/>
        <v>15630</v>
      </c>
      <c r="AH64" s="14">
        <f t="shared" si="189"/>
        <v>15630</v>
      </c>
      <c r="AI64" s="14">
        <f t="shared" si="190"/>
        <v>15630</v>
      </c>
      <c r="AJ64" s="14">
        <f t="shared" si="191"/>
        <v>15630</v>
      </c>
      <c r="AK64" s="14">
        <f t="shared" si="192"/>
        <v>15630</v>
      </c>
      <c r="AL64" s="14">
        <f t="shared" si="193"/>
        <v>15630</v>
      </c>
      <c r="AM64" s="14">
        <f t="shared" si="194"/>
        <v>15630</v>
      </c>
    </row>
    <row r="65" spans="1:39" x14ac:dyDescent="0.35">
      <c r="B65" s="1">
        <v>165</v>
      </c>
      <c r="C65" s="164" t="s">
        <v>96</v>
      </c>
      <c r="D65" s="2" t="s">
        <v>1</v>
      </c>
      <c r="E65" s="2" t="s">
        <v>97</v>
      </c>
      <c r="F65" s="2" t="s">
        <v>168</v>
      </c>
      <c r="G65" s="6">
        <v>570</v>
      </c>
      <c r="H65" s="6">
        <v>780</v>
      </c>
      <c r="I65" s="155">
        <v>780</v>
      </c>
      <c r="J65" s="155">
        <v>780</v>
      </c>
      <c r="K65" s="155">
        <v>780</v>
      </c>
      <c r="L65" s="163">
        <v>780</v>
      </c>
      <c r="M65" s="163">
        <f>N65*1.2</f>
        <v>1047.5999999999999</v>
      </c>
      <c r="N65" s="169">
        <f>283+590</f>
        <v>873</v>
      </c>
      <c r="O65" s="17">
        <f>ROUND(M65/2,-1)</f>
        <v>520</v>
      </c>
      <c r="P65" s="14">
        <f t="shared" si="175"/>
        <v>520</v>
      </c>
      <c r="Q65" s="17">
        <f>ROUND(M65/3,-1)</f>
        <v>350</v>
      </c>
      <c r="R65" s="14">
        <f>Q65</f>
        <v>350</v>
      </c>
      <c r="S65" s="14">
        <f>Q65</f>
        <v>350</v>
      </c>
      <c r="T65" s="17">
        <f>ROUND(M65/6,-1)</f>
        <v>170</v>
      </c>
      <c r="U65" s="14">
        <f>T65</f>
        <v>170</v>
      </c>
      <c r="V65" s="14">
        <f>T65</f>
        <v>170</v>
      </c>
      <c r="W65" s="17">
        <f>ROUND(M65/8,-1)</f>
        <v>130</v>
      </c>
      <c r="X65" s="14">
        <f>W65</f>
        <v>130</v>
      </c>
      <c r="Y65" s="14">
        <f>W65</f>
        <v>130</v>
      </c>
      <c r="Z65" s="14">
        <f>W65</f>
        <v>130</v>
      </c>
      <c r="AA65" s="17">
        <f>ROUND(M65/8,-1)</f>
        <v>130</v>
      </c>
      <c r="AB65" s="14">
        <f>AA65</f>
        <v>130</v>
      </c>
      <c r="AC65" s="14">
        <f t="shared" si="184"/>
        <v>130</v>
      </c>
      <c r="AD65" s="14">
        <f t="shared" si="185"/>
        <v>130</v>
      </c>
      <c r="AE65" s="14">
        <f t="shared" si="186"/>
        <v>130</v>
      </c>
      <c r="AF65" s="14">
        <f t="shared" si="187"/>
        <v>130</v>
      </c>
      <c r="AG65" s="14">
        <f t="shared" si="188"/>
        <v>130</v>
      </c>
      <c r="AH65" s="14">
        <f t="shared" si="189"/>
        <v>130</v>
      </c>
      <c r="AI65" s="14">
        <f t="shared" si="190"/>
        <v>130</v>
      </c>
      <c r="AJ65" s="14">
        <f t="shared" si="191"/>
        <v>130</v>
      </c>
      <c r="AK65" s="14">
        <f t="shared" si="192"/>
        <v>130</v>
      </c>
      <c r="AL65" s="14">
        <f t="shared" si="193"/>
        <v>130</v>
      </c>
      <c r="AM65" s="14">
        <f t="shared" si="194"/>
        <v>130</v>
      </c>
    </row>
    <row r="66" spans="1:39" x14ac:dyDescent="0.35">
      <c r="B66" s="1">
        <v>192</v>
      </c>
      <c r="C66" s="2" t="s">
        <v>98</v>
      </c>
      <c r="D66" s="2" t="s">
        <v>1</v>
      </c>
      <c r="E66" s="2"/>
      <c r="F66" s="2" t="s">
        <v>168</v>
      </c>
      <c r="L66" s="5"/>
      <c r="M66" s="5"/>
      <c r="N66" s="170"/>
      <c r="O66" s="16"/>
      <c r="P66" s="14"/>
      <c r="Q66" s="16"/>
      <c r="R66" s="14"/>
      <c r="S66" s="14"/>
      <c r="T66" s="16"/>
      <c r="U66" s="14"/>
      <c r="V66" s="14"/>
      <c r="W66" s="16"/>
      <c r="X66" s="14"/>
      <c r="Y66" s="14"/>
      <c r="Z66" s="14"/>
      <c r="AA66" s="16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</row>
    <row r="67" spans="1:39" x14ac:dyDescent="0.35">
      <c r="B67" s="1">
        <v>185</v>
      </c>
      <c r="C67" s="2" t="s">
        <v>99</v>
      </c>
      <c r="D67" s="2" t="s">
        <v>1</v>
      </c>
      <c r="E67" s="2"/>
      <c r="F67" s="2" t="s">
        <v>168</v>
      </c>
      <c r="L67" s="5"/>
      <c r="M67" s="5"/>
      <c r="N67" s="170"/>
      <c r="O67" s="16"/>
      <c r="P67" s="14">
        <f>O67</f>
        <v>0</v>
      </c>
      <c r="Q67" s="17">
        <f>ROUND(M67/13,-1)</f>
        <v>0</v>
      </c>
      <c r="R67" s="14">
        <f t="shared" ref="R67" si="195">Q67</f>
        <v>0</v>
      </c>
      <c r="S67" s="14">
        <f t="shared" ref="S67" si="196">Q67</f>
        <v>0</v>
      </c>
      <c r="T67" s="17">
        <f>ROUND(M67/16,-1)</f>
        <v>0</v>
      </c>
      <c r="U67" s="14">
        <f t="shared" ref="U67" si="197">T67</f>
        <v>0</v>
      </c>
      <c r="V67" s="14">
        <f t="shared" ref="V67" si="198">T67</f>
        <v>0</v>
      </c>
      <c r="W67" s="17">
        <f>ROUND(M67/20,-1)</f>
        <v>0</v>
      </c>
      <c r="X67" s="14">
        <f t="shared" ref="X67" si="199">W67</f>
        <v>0</v>
      </c>
      <c r="Y67" s="14">
        <f t="shared" ref="Y67" si="200">W67</f>
        <v>0</v>
      </c>
      <c r="Z67" s="14">
        <f t="shared" ref="Z67" si="201">W67</f>
        <v>0</v>
      </c>
      <c r="AA67" s="17">
        <f>ROUND(M67/24,-1)</f>
        <v>0</v>
      </c>
      <c r="AB67" s="14">
        <f t="shared" ref="AB67" si="202">AA67</f>
        <v>0</v>
      </c>
      <c r="AC67" s="14">
        <f t="shared" ref="AC67" si="203">AB67</f>
        <v>0</v>
      </c>
      <c r="AD67" s="14">
        <f t="shared" ref="AD67" si="204">AC67</f>
        <v>0</v>
      </c>
      <c r="AE67" s="14">
        <f t="shared" ref="AE67" si="205">AD67</f>
        <v>0</v>
      </c>
      <c r="AF67" s="14">
        <f t="shared" ref="AF67" si="206">AE67</f>
        <v>0</v>
      </c>
      <c r="AG67" s="14">
        <f t="shared" ref="AG67" si="207">AF67</f>
        <v>0</v>
      </c>
      <c r="AH67" s="14">
        <f t="shared" ref="AH67" si="208">AG67</f>
        <v>0</v>
      </c>
      <c r="AI67" s="14">
        <f t="shared" ref="AI67" si="209">AH67</f>
        <v>0</v>
      </c>
      <c r="AJ67" s="14">
        <f t="shared" ref="AJ67" si="210">AI67</f>
        <v>0</v>
      </c>
      <c r="AK67" s="14">
        <f t="shared" ref="AK67" si="211">AJ67</f>
        <v>0</v>
      </c>
      <c r="AL67" s="14">
        <f t="shared" ref="AL67" si="212">AK67</f>
        <v>0</v>
      </c>
      <c r="AM67" s="14">
        <f t="shared" ref="AM67" si="213">AL67</f>
        <v>0</v>
      </c>
    </row>
    <row r="68" spans="1:39" x14ac:dyDescent="0.35">
      <c r="A68" t="s">
        <v>178</v>
      </c>
      <c r="B68" s="1">
        <v>140</v>
      </c>
      <c r="C68" s="2" t="s">
        <v>100</v>
      </c>
      <c r="D68" s="4" t="s">
        <v>166</v>
      </c>
      <c r="E68" s="2" t="s">
        <v>101</v>
      </c>
      <c r="F68" s="2" t="s">
        <v>171</v>
      </c>
      <c r="L68" s="5"/>
      <c r="M68" s="5"/>
      <c r="N68" s="170"/>
      <c r="O68" s="16"/>
      <c r="P68" s="14"/>
      <c r="Q68" s="16"/>
      <c r="R68" s="14"/>
      <c r="S68" s="14"/>
      <c r="T68" s="16"/>
      <c r="U68" s="14"/>
      <c r="V68" s="14"/>
      <c r="W68" s="16"/>
      <c r="X68" s="14"/>
      <c r="Y68" s="14"/>
      <c r="Z68" s="14"/>
      <c r="AA68" s="16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</row>
    <row r="69" spans="1:39" x14ac:dyDescent="0.35">
      <c r="A69" t="s">
        <v>178</v>
      </c>
      <c r="B69" s="1">
        <v>142</v>
      </c>
      <c r="C69" s="2" t="s">
        <v>102</v>
      </c>
      <c r="D69" s="2" t="s">
        <v>1</v>
      </c>
      <c r="E69" s="2" t="s">
        <v>103</v>
      </c>
      <c r="F69" s="2" t="s">
        <v>171</v>
      </c>
      <c r="L69" s="5"/>
      <c r="M69" s="5"/>
      <c r="N69" s="170"/>
      <c r="O69" s="16"/>
      <c r="P69" s="14"/>
      <c r="Q69" s="16"/>
      <c r="R69" s="14"/>
      <c r="S69" s="14"/>
      <c r="T69" s="16"/>
      <c r="U69" s="14"/>
      <c r="V69" s="14"/>
      <c r="W69" s="16"/>
      <c r="X69" s="14"/>
      <c r="Y69" s="14"/>
      <c r="Z69" s="14"/>
      <c r="AA69" s="16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</row>
    <row r="70" spans="1:39" x14ac:dyDescent="0.35">
      <c r="A70" t="s">
        <v>178</v>
      </c>
      <c r="B70" s="1">
        <v>226</v>
      </c>
      <c r="C70" s="2" t="s">
        <v>104</v>
      </c>
      <c r="D70" s="4" t="s">
        <v>166</v>
      </c>
      <c r="E70" s="2"/>
      <c r="F70" s="2" t="s">
        <v>168</v>
      </c>
      <c r="L70" s="5"/>
      <c r="M70" s="5"/>
      <c r="N70" s="170"/>
      <c r="O70" s="16"/>
      <c r="P70" s="14"/>
      <c r="Q70" s="16"/>
      <c r="R70" s="14"/>
      <c r="S70" s="14"/>
      <c r="T70" s="16"/>
      <c r="U70" s="14"/>
      <c r="V70" s="14"/>
      <c r="W70" s="16"/>
      <c r="X70" s="14"/>
      <c r="Y70" s="14"/>
      <c r="Z70" s="14"/>
      <c r="AA70" s="16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</row>
    <row r="71" spans="1:39" x14ac:dyDescent="0.35">
      <c r="A71" t="s">
        <v>178</v>
      </c>
      <c r="B71" s="1">
        <v>228</v>
      </c>
      <c r="C71" s="2" t="s">
        <v>105</v>
      </c>
      <c r="D71" s="2" t="s">
        <v>1</v>
      </c>
      <c r="E71" s="2"/>
      <c r="F71" s="2" t="s">
        <v>168</v>
      </c>
      <c r="L71" s="5"/>
      <c r="M71" s="5"/>
      <c r="N71" s="170"/>
      <c r="O71" s="16"/>
      <c r="P71" s="14"/>
      <c r="Q71" s="16"/>
      <c r="R71" s="14"/>
      <c r="S71" s="14"/>
      <c r="T71" s="16"/>
      <c r="U71" s="14"/>
      <c r="V71" s="14"/>
      <c r="W71" s="16"/>
      <c r="X71" s="14"/>
      <c r="Y71" s="14"/>
      <c r="Z71" s="14"/>
      <c r="AA71" s="16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</row>
    <row r="72" spans="1:39" x14ac:dyDescent="0.35">
      <c r="B72" s="1">
        <v>109</v>
      </c>
      <c r="C72" s="2" t="s">
        <v>106</v>
      </c>
      <c r="D72" s="2" t="s">
        <v>1</v>
      </c>
      <c r="E72" s="2" t="s">
        <v>103</v>
      </c>
      <c r="F72" s="2" t="s">
        <v>168</v>
      </c>
      <c r="L72" s="5"/>
      <c r="M72" s="5"/>
      <c r="N72" s="170"/>
      <c r="O72" s="16"/>
      <c r="P72" s="14"/>
      <c r="Q72" s="16"/>
      <c r="R72" s="14"/>
      <c r="S72" s="14"/>
      <c r="T72" s="16"/>
      <c r="U72" s="14"/>
      <c r="V72" s="14"/>
      <c r="W72" s="16"/>
      <c r="X72" s="14"/>
      <c r="Y72" s="14"/>
      <c r="Z72" s="14"/>
      <c r="AA72" s="16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</row>
    <row r="73" spans="1:39" x14ac:dyDescent="0.35">
      <c r="B73" s="1">
        <v>169</v>
      </c>
      <c r="C73" s="2" t="s">
        <v>107</v>
      </c>
      <c r="D73" s="2" t="s">
        <v>1</v>
      </c>
      <c r="E73" s="2" t="s">
        <v>108</v>
      </c>
      <c r="F73" s="2" t="s">
        <v>168</v>
      </c>
      <c r="G73" s="6">
        <v>20000</v>
      </c>
      <c r="H73" s="6">
        <v>70000</v>
      </c>
      <c r="I73" s="155">
        <v>35000</v>
      </c>
      <c r="J73" s="155">
        <v>35000</v>
      </c>
      <c r="K73" s="155">
        <v>35000</v>
      </c>
      <c r="L73" s="5"/>
      <c r="M73" s="5"/>
      <c r="N73" s="170"/>
      <c r="O73" s="17">
        <f>ROUND(M73/9,-1)</f>
        <v>0</v>
      </c>
      <c r="P73" s="14">
        <f>O73</f>
        <v>0</v>
      </c>
      <c r="Q73" s="17">
        <f>ROUND(M73/13,-1)</f>
        <v>0</v>
      </c>
      <c r="R73" s="14">
        <f t="shared" ref="R73:R75" si="214">Q73</f>
        <v>0</v>
      </c>
      <c r="S73" s="14">
        <f t="shared" ref="S73:S75" si="215">Q73</f>
        <v>0</v>
      </c>
      <c r="T73" s="17">
        <f>ROUND(M73/16,-1)</f>
        <v>0</v>
      </c>
      <c r="U73" s="14">
        <f t="shared" ref="U73:U75" si="216">T73</f>
        <v>0</v>
      </c>
      <c r="V73" s="14">
        <f t="shared" ref="V73:V75" si="217">T73</f>
        <v>0</v>
      </c>
      <c r="W73" s="17">
        <f>ROUND(M73/20,-1)</f>
        <v>0</v>
      </c>
      <c r="X73" s="14">
        <f t="shared" ref="X73:X75" si="218">W73</f>
        <v>0</v>
      </c>
      <c r="Y73" s="14">
        <f t="shared" ref="Y73:Y75" si="219">W73</f>
        <v>0</v>
      </c>
      <c r="Z73" s="14">
        <f t="shared" ref="Z73:Z75" si="220">W73</f>
        <v>0</v>
      </c>
      <c r="AA73" s="17">
        <f>ROUND(M73/24,-1)</f>
        <v>0</v>
      </c>
      <c r="AB73" s="14">
        <f t="shared" ref="AB73:AB75" si="221">AA73</f>
        <v>0</v>
      </c>
      <c r="AC73" s="14">
        <f t="shared" ref="AC73:AC75" si="222">AB73</f>
        <v>0</v>
      </c>
      <c r="AD73" s="14">
        <f t="shared" ref="AD73:AD75" si="223">AC73</f>
        <v>0</v>
      </c>
      <c r="AE73" s="14">
        <f t="shared" ref="AE73:AE75" si="224">AD73</f>
        <v>0</v>
      </c>
      <c r="AF73" s="14">
        <f t="shared" ref="AF73:AF75" si="225">AE73</f>
        <v>0</v>
      </c>
      <c r="AG73" s="14">
        <f t="shared" ref="AG73:AG75" si="226">AF73</f>
        <v>0</v>
      </c>
      <c r="AH73" s="14">
        <f t="shared" ref="AH73:AH75" si="227">AG73</f>
        <v>0</v>
      </c>
      <c r="AI73" s="14">
        <f t="shared" ref="AI73:AI75" si="228">AH73</f>
        <v>0</v>
      </c>
      <c r="AJ73" s="14">
        <f t="shared" ref="AJ73:AJ75" si="229">AI73</f>
        <v>0</v>
      </c>
      <c r="AK73" s="14">
        <f t="shared" ref="AK73:AK75" si="230">AJ73</f>
        <v>0</v>
      </c>
      <c r="AL73" s="14">
        <f t="shared" ref="AL73:AL75" si="231">AK73</f>
        <v>0</v>
      </c>
      <c r="AM73" s="14">
        <f t="shared" ref="AM73:AM75" si="232">AL73</f>
        <v>0</v>
      </c>
    </row>
    <row r="74" spans="1:39" x14ac:dyDescent="0.35">
      <c r="B74" s="1">
        <v>126</v>
      </c>
      <c r="C74" s="2" t="s">
        <v>109</v>
      </c>
      <c r="D74" s="2" t="s">
        <v>1</v>
      </c>
      <c r="E74" s="2"/>
      <c r="F74" s="2" t="s">
        <v>168</v>
      </c>
      <c r="G74" s="6">
        <v>34000</v>
      </c>
      <c r="I74" s="6">
        <v>34000</v>
      </c>
      <c r="J74" s="6">
        <v>34000</v>
      </c>
      <c r="K74" s="6">
        <v>34000</v>
      </c>
      <c r="L74" s="5"/>
      <c r="M74" s="5"/>
      <c r="N74" s="170"/>
      <c r="O74" s="17">
        <f>ROUND(M74/9,-1)</f>
        <v>0</v>
      </c>
      <c r="P74" s="14">
        <f>O74</f>
        <v>0</v>
      </c>
      <c r="Q74" s="17">
        <f>ROUND(M74/13,-1)</f>
        <v>0</v>
      </c>
      <c r="R74" s="14">
        <f t="shared" si="214"/>
        <v>0</v>
      </c>
      <c r="S74" s="14">
        <f t="shared" si="215"/>
        <v>0</v>
      </c>
      <c r="T74" s="17">
        <f>ROUND(M74/16,-1)</f>
        <v>0</v>
      </c>
      <c r="U74" s="14">
        <f t="shared" si="216"/>
        <v>0</v>
      </c>
      <c r="V74" s="14">
        <f t="shared" si="217"/>
        <v>0</v>
      </c>
      <c r="W74" s="17">
        <f>ROUND(M74/20,-1)</f>
        <v>0</v>
      </c>
      <c r="X74" s="14">
        <f t="shared" si="218"/>
        <v>0</v>
      </c>
      <c r="Y74" s="14">
        <f t="shared" si="219"/>
        <v>0</v>
      </c>
      <c r="Z74" s="14">
        <f t="shared" si="220"/>
        <v>0</v>
      </c>
      <c r="AA74" s="17">
        <f>ROUND(M74/24,-1)</f>
        <v>0</v>
      </c>
      <c r="AB74" s="14">
        <f t="shared" si="221"/>
        <v>0</v>
      </c>
      <c r="AC74" s="14">
        <f t="shared" si="222"/>
        <v>0</v>
      </c>
      <c r="AD74" s="14">
        <f t="shared" si="223"/>
        <v>0</v>
      </c>
      <c r="AE74" s="14">
        <f t="shared" si="224"/>
        <v>0</v>
      </c>
      <c r="AF74" s="14">
        <f t="shared" si="225"/>
        <v>0</v>
      </c>
      <c r="AG74" s="14">
        <f t="shared" si="226"/>
        <v>0</v>
      </c>
      <c r="AH74" s="14">
        <f t="shared" si="227"/>
        <v>0</v>
      </c>
      <c r="AI74" s="14">
        <f t="shared" si="228"/>
        <v>0</v>
      </c>
      <c r="AJ74" s="14">
        <f t="shared" si="229"/>
        <v>0</v>
      </c>
      <c r="AK74" s="14">
        <f t="shared" si="230"/>
        <v>0</v>
      </c>
      <c r="AL74" s="14">
        <f t="shared" si="231"/>
        <v>0</v>
      </c>
      <c r="AM74" s="14">
        <f t="shared" si="232"/>
        <v>0</v>
      </c>
    </row>
    <row r="75" spans="1:39" x14ac:dyDescent="0.35">
      <c r="B75" s="1">
        <v>16</v>
      </c>
      <c r="C75" s="164" t="s">
        <v>110</v>
      </c>
      <c r="D75" s="2" t="s">
        <v>1</v>
      </c>
      <c r="E75" s="2" t="s">
        <v>111</v>
      </c>
      <c r="F75" s="2" t="s">
        <v>168</v>
      </c>
      <c r="G75" s="6">
        <v>7000</v>
      </c>
      <c r="H75" s="6">
        <v>8400</v>
      </c>
      <c r="I75" s="155">
        <v>8400</v>
      </c>
      <c r="J75" s="155">
        <v>8400</v>
      </c>
      <c r="K75" s="155">
        <v>8400</v>
      </c>
      <c r="L75" s="155">
        <v>20000</v>
      </c>
      <c r="M75" s="155">
        <f>N75*1.2</f>
        <v>20989.200000000001</v>
      </c>
      <c r="N75" s="169">
        <v>17491</v>
      </c>
      <c r="O75" s="17">
        <f>ROUND(M75/15,-1)</f>
        <v>1400</v>
      </c>
      <c r="P75" s="14">
        <f>O75</f>
        <v>1400</v>
      </c>
      <c r="Q75" s="17">
        <f>ROUND(M75/17,-1)</f>
        <v>1230</v>
      </c>
      <c r="R75" s="14">
        <f t="shared" si="214"/>
        <v>1230</v>
      </c>
      <c r="S75" s="14">
        <f t="shared" si="215"/>
        <v>1230</v>
      </c>
      <c r="T75" s="17">
        <f>ROUND(M75/20,-1)</f>
        <v>1050</v>
      </c>
      <c r="U75" s="14">
        <f t="shared" si="216"/>
        <v>1050</v>
      </c>
      <c r="V75" s="14">
        <f t="shared" si="217"/>
        <v>1050</v>
      </c>
      <c r="W75" s="17">
        <f>ROUND(M75/20,-1)</f>
        <v>1050</v>
      </c>
      <c r="X75" s="14">
        <f t="shared" si="218"/>
        <v>1050</v>
      </c>
      <c r="Y75" s="14">
        <f t="shared" si="219"/>
        <v>1050</v>
      </c>
      <c r="Z75" s="14">
        <f t="shared" si="220"/>
        <v>1050</v>
      </c>
      <c r="AA75" s="17">
        <f>ROUND(M75/24,-1)</f>
        <v>870</v>
      </c>
      <c r="AB75" s="14">
        <f t="shared" si="221"/>
        <v>870</v>
      </c>
      <c r="AC75" s="14">
        <f t="shared" si="222"/>
        <v>870</v>
      </c>
      <c r="AD75" s="14">
        <f t="shared" si="223"/>
        <v>870</v>
      </c>
      <c r="AE75" s="14">
        <f t="shared" si="224"/>
        <v>870</v>
      </c>
      <c r="AF75" s="14">
        <f t="shared" si="225"/>
        <v>870</v>
      </c>
      <c r="AG75" s="14">
        <f t="shared" si="226"/>
        <v>870</v>
      </c>
      <c r="AH75" s="14">
        <f t="shared" si="227"/>
        <v>870</v>
      </c>
      <c r="AI75" s="14">
        <f t="shared" si="228"/>
        <v>870</v>
      </c>
      <c r="AJ75" s="14">
        <f t="shared" si="229"/>
        <v>870</v>
      </c>
      <c r="AK75" s="14">
        <f t="shared" si="230"/>
        <v>870</v>
      </c>
      <c r="AL75" s="14">
        <f t="shared" si="231"/>
        <v>870</v>
      </c>
      <c r="AM75" s="14">
        <f t="shared" si="232"/>
        <v>870</v>
      </c>
    </row>
    <row r="76" spans="1:39" x14ac:dyDescent="0.35">
      <c r="B76" s="1">
        <v>17</v>
      </c>
      <c r="C76" s="164" t="s">
        <v>112</v>
      </c>
      <c r="D76" s="2" t="s">
        <v>1</v>
      </c>
      <c r="E76" s="2" t="s">
        <v>113</v>
      </c>
      <c r="F76" s="2" t="s">
        <v>168</v>
      </c>
      <c r="G76" s="6">
        <v>12000</v>
      </c>
      <c r="H76" s="6">
        <v>15000</v>
      </c>
      <c r="I76" s="155">
        <v>15000</v>
      </c>
      <c r="J76" s="155">
        <v>15000</v>
      </c>
      <c r="K76" s="155">
        <v>15000</v>
      </c>
      <c r="L76" s="155">
        <v>32000</v>
      </c>
      <c r="M76" s="155">
        <f>N76*1.2</f>
        <v>32149.199999999997</v>
      </c>
      <c r="N76" s="169">
        <v>26791</v>
      </c>
      <c r="O76" s="17">
        <f>ROUND(M76/15,-1)</f>
        <v>2140</v>
      </c>
      <c r="P76" s="14">
        <f>O76</f>
        <v>2140</v>
      </c>
      <c r="Q76" s="17">
        <f>ROUND(M76/17,-1)</f>
        <v>1890</v>
      </c>
      <c r="R76" s="14">
        <f t="shared" ref="R76" si="233">Q76</f>
        <v>1890</v>
      </c>
      <c r="S76" s="14">
        <f t="shared" ref="S76" si="234">Q76</f>
        <v>1890</v>
      </c>
      <c r="T76" s="17">
        <f>ROUND(M76/20,-1)</f>
        <v>1610</v>
      </c>
      <c r="U76" s="14">
        <f t="shared" ref="U76:U77" si="235">T76</f>
        <v>1610</v>
      </c>
      <c r="V76" s="14">
        <f t="shared" ref="V76:V77" si="236">T76</f>
        <v>1610</v>
      </c>
      <c r="W76" s="17">
        <f t="shared" ref="W76:W77" si="237">ROUND(M76/20,-1)</f>
        <v>1610</v>
      </c>
      <c r="X76" s="14">
        <f t="shared" ref="X76:X77" si="238">W76</f>
        <v>1610</v>
      </c>
      <c r="Y76" s="14">
        <f t="shared" ref="Y76:Y77" si="239">W76</f>
        <v>1610</v>
      </c>
      <c r="Z76" s="14">
        <f t="shared" ref="Z76:Z77" si="240">W76</f>
        <v>1610</v>
      </c>
      <c r="AA76" s="17">
        <f t="shared" ref="AA76:AA77" si="241">ROUND(M76/24,-1)</f>
        <v>1340</v>
      </c>
      <c r="AB76" s="14">
        <f t="shared" ref="AB76:AB77" si="242">AA76</f>
        <v>1340</v>
      </c>
      <c r="AC76" s="14">
        <f t="shared" ref="AC76:AC77" si="243">AB76</f>
        <v>1340</v>
      </c>
      <c r="AD76" s="14">
        <f t="shared" ref="AD76:AD77" si="244">AC76</f>
        <v>1340</v>
      </c>
      <c r="AE76" s="14">
        <f t="shared" ref="AE76:AE77" si="245">AD76</f>
        <v>1340</v>
      </c>
      <c r="AF76" s="14">
        <f t="shared" ref="AF76:AF77" si="246">AE76</f>
        <v>1340</v>
      </c>
      <c r="AG76" s="14">
        <f t="shared" ref="AG76:AG77" si="247">AF76</f>
        <v>1340</v>
      </c>
      <c r="AH76" s="14">
        <f t="shared" ref="AH76:AH77" si="248">AG76</f>
        <v>1340</v>
      </c>
      <c r="AI76" s="14">
        <f t="shared" ref="AI76:AI77" si="249">AH76</f>
        <v>1340</v>
      </c>
      <c r="AJ76" s="14">
        <f t="shared" ref="AJ76:AJ77" si="250">AI76</f>
        <v>1340</v>
      </c>
      <c r="AK76" s="14">
        <f t="shared" ref="AK76:AK77" si="251">AJ76</f>
        <v>1340</v>
      </c>
      <c r="AL76" s="14">
        <f t="shared" ref="AL76:AL77" si="252">AK76</f>
        <v>1340</v>
      </c>
      <c r="AM76" s="14">
        <f t="shared" ref="AM76:AM77" si="253">AL76</f>
        <v>1340</v>
      </c>
    </row>
    <row r="77" spans="1:39" x14ac:dyDescent="0.35">
      <c r="B77" s="1">
        <v>123</v>
      </c>
      <c r="C77" s="164" t="s">
        <v>114</v>
      </c>
      <c r="D77" s="2" t="s">
        <v>1</v>
      </c>
      <c r="E77" s="2" t="s">
        <v>115</v>
      </c>
      <c r="F77" s="2" t="s">
        <v>168</v>
      </c>
      <c r="G77" s="6">
        <v>35000</v>
      </c>
      <c r="H77" s="6">
        <v>22000</v>
      </c>
      <c r="I77" s="155">
        <v>22000</v>
      </c>
      <c r="J77" s="155">
        <v>22000</v>
      </c>
      <c r="K77" s="155">
        <v>22000</v>
      </c>
      <c r="L77" s="155">
        <v>35000</v>
      </c>
      <c r="M77" s="155">
        <v>35000</v>
      </c>
      <c r="N77" s="169" t="s">
        <v>346</v>
      </c>
      <c r="O77" s="19">
        <f>ROUND(M77/15,-1)</f>
        <v>2330</v>
      </c>
      <c r="P77" s="14">
        <f>O77</f>
        <v>2330</v>
      </c>
      <c r="Q77" s="17">
        <f t="shared" ref="Q77" si="254">ROUND(M77/17,-1)</f>
        <v>2060</v>
      </c>
      <c r="R77" s="14">
        <f t="shared" ref="R77" si="255">Q77</f>
        <v>2060</v>
      </c>
      <c r="S77" s="14">
        <f t="shared" ref="S77" si="256">Q77</f>
        <v>2060</v>
      </c>
      <c r="T77" s="17">
        <f>ROUND(M77/20,-1)</f>
        <v>1750</v>
      </c>
      <c r="U77" s="14">
        <f t="shared" si="235"/>
        <v>1750</v>
      </c>
      <c r="V77" s="14">
        <f t="shared" si="236"/>
        <v>1750</v>
      </c>
      <c r="W77" s="17">
        <f t="shared" si="237"/>
        <v>1750</v>
      </c>
      <c r="X77" s="14">
        <f t="shared" si="238"/>
        <v>1750</v>
      </c>
      <c r="Y77" s="14">
        <f t="shared" si="239"/>
        <v>1750</v>
      </c>
      <c r="Z77" s="14">
        <f t="shared" si="240"/>
        <v>1750</v>
      </c>
      <c r="AA77" s="17">
        <f t="shared" si="241"/>
        <v>1460</v>
      </c>
      <c r="AB77" s="14">
        <f t="shared" si="242"/>
        <v>1460</v>
      </c>
      <c r="AC77" s="14">
        <f t="shared" si="243"/>
        <v>1460</v>
      </c>
      <c r="AD77" s="14">
        <f t="shared" si="244"/>
        <v>1460</v>
      </c>
      <c r="AE77" s="14">
        <f t="shared" si="245"/>
        <v>1460</v>
      </c>
      <c r="AF77" s="14">
        <f t="shared" si="246"/>
        <v>1460</v>
      </c>
      <c r="AG77" s="14">
        <f t="shared" si="247"/>
        <v>1460</v>
      </c>
      <c r="AH77" s="14">
        <f t="shared" si="248"/>
        <v>1460</v>
      </c>
      <c r="AI77" s="14">
        <f t="shared" si="249"/>
        <v>1460</v>
      </c>
      <c r="AJ77" s="14">
        <f t="shared" si="250"/>
        <v>1460</v>
      </c>
      <c r="AK77" s="14">
        <f t="shared" si="251"/>
        <v>1460</v>
      </c>
      <c r="AL77" s="14">
        <f t="shared" si="252"/>
        <v>1460</v>
      </c>
      <c r="AM77" s="14">
        <f t="shared" si="253"/>
        <v>1460</v>
      </c>
    </row>
    <row r="78" spans="1:39" x14ac:dyDescent="0.35">
      <c r="A78" t="s">
        <v>178</v>
      </c>
      <c r="B78" s="1">
        <v>116</v>
      </c>
      <c r="C78" s="2" t="s">
        <v>116</v>
      </c>
      <c r="D78" s="2" t="s">
        <v>1</v>
      </c>
      <c r="E78" s="2"/>
      <c r="F78" s="2" t="s">
        <v>168</v>
      </c>
      <c r="L78" s="5"/>
      <c r="M78" s="5"/>
      <c r="N78" s="170"/>
      <c r="O78" s="17">
        <f t="shared" ref="O78:O80" si="257">ROUND(M78/9,-1)</f>
        <v>0</v>
      </c>
      <c r="P78" s="14">
        <f t="shared" ref="P78:P80" si="258">O78</f>
        <v>0</v>
      </c>
      <c r="Q78" s="17">
        <f t="shared" ref="Q78:Q80" si="259">ROUND(M78/13,-1)</f>
        <v>0</v>
      </c>
      <c r="R78" s="14">
        <f t="shared" ref="R78:R80" si="260">Q78</f>
        <v>0</v>
      </c>
      <c r="S78" s="14">
        <f t="shared" ref="S78:S80" si="261">Q78</f>
        <v>0</v>
      </c>
      <c r="T78" s="17">
        <f>ROUND(M78/20,-1)</f>
        <v>0</v>
      </c>
      <c r="U78" s="14">
        <f t="shared" ref="U78:U80" si="262">T78</f>
        <v>0</v>
      </c>
      <c r="V78" s="14">
        <f t="shared" ref="V78:V80" si="263">T78</f>
        <v>0</v>
      </c>
      <c r="W78" s="17">
        <f t="shared" ref="W78:W80" si="264">ROUND(M78/20,-1)</f>
        <v>0</v>
      </c>
      <c r="X78" s="14">
        <f t="shared" ref="X78:X80" si="265">W78</f>
        <v>0</v>
      </c>
      <c r="Y78" s="14">
        <f t="shared" ref="Y78:Y80" si="266">W78</f>
        <v>0</v>
      </c>
      <c r="Z78" s="14">
        <f t="shared" ref="Z78:Z80" si="267">W78</f>
        <v>0</v>
      </c>
      <c r="AA78" s="17">
        <f t="shared" ref="AA78:AA80" si="268">ROUND(M78/24,-1)</f>
        <v>0</v>
      </c>
      <c r="AB78" s="14">
        <f t="shared" ref="AB78:AB80" si="269">AA78</f>
        <v>0</v>
      </c>
      <c r="AC78" s="14">
        <f t="shared" ref="AC78:AC80" si="270">AB78</f>
        <v>0</v>
      </c>
      <c r="AD78" s="14">
        <f t="shared" ref="AD78:AD80" si="271">AC78</f>
        <v>0</v>
      </c>
      <c r="AE78" s="14">
        <f t="shared" ref="AE78:AE80" si="272">AD78</f>
        <v>0</v>
      </c>
      <c r="AF78" s="14">
        <f t="shared" ref="AF78:AF80" si="273">AE78</f>
        <v>0</v>
      </c>
      <c r="AG78" s="14">
        <f t="shared" ref="AG78:AG80" si="274">AF78</f>
        <v>0</v>
      </c>
      <c r="AH78" s="14">
        <f t="shared" ref="AH78:AH80" si="275">AG78</f>
        <v>0</v>
      </c>
      <c r="AI78" s="14">
        <f t="shared" ref="AI78:AI80" si="276">AH78</f>
        <v>0</v>
      </c>
      <c r="AJ78" s="14">
        <f t="shared" ref="AJ78:AJ80" si="277">AI78</f>
        <v>0</v>
      </c>
      <c r="AK78" s="14">
        <f t="shared" ref="AK78:AK80" si="278">AJ78</f>
        <v>0</v>
      </c>
      <c r="AL78" s="14">
        <f t="shared" ref="AL78:AL80" si="279">AK78</f>
        <v>0</v>
      </c>
      <c r="AM78" s="14">
        <f t="shared" ref="AM78:AM80" si="280">AL78</f>
        <v>0</v>
      </c>
    </row>
    <row r="79" spans="1:39" x14ac:dyDescent="0.35">
      <c r="A79" t="s">
        <v>178</v>
      </c>
      <c r="B79" s="1">
        <v>144</v>
      </c>
      <c r="C79" s="2" t="s">
        <v>117</v>
      </c>
      <c r="D79" s="4" t="s">
        <v>166</v>
      </c>
      <c r="E79" s="2"/>
      <c r="F79" s="2" t="s">
        <v>168</v>
      </c>
      <c r="L79" s="5"/>
      <c r="M79" s="5"/>
      <c r="N79" s="170"/>
      <c r="O79" s="19">
        <f t="shared" si="257"/>
        <v>0</v>
      </c>
      <c r="P79" s="14">
        <f t="shared" si="258"/>
        <v>0</v>
      </c>
      <c r="Q79" s="17">
        <f t="shared" si="259"/>
        <v>0</v>
      </c>
      <c r="R79" s="14">
        <f t="shared" si="260"/>
        <v>0</v>
      </c>
      <c r="S79" s="14">
        <f t="shared" si="261"/>
        <v>0</v>
      </c>
      <c r="T79" s="17">
        <f t="shared" ref="T79:T80" si="281">ROUND(M79/16,-1)</f>
        <v>0</v>
      </c>
      <c r="U79" s="14">
        <f t="shared" si="262"/>
        <v>0</v>
      </c>
      <c r="V79" s="14">
        <f t="shared" si="263"/>
        <v>0</v>
      </c>
      <c r="W79" s="17">
        <f t="shared" si="264"/>
        <v>0</v>
      </c>
      <c r="X79" s="14">
        <f t="shared" si="265"/>
        <v>0</v>
      </c>
      <c r="Y79" s="14">
        <f t="shared" si="266"/>
        <v>0</v>
      </c>
      <c r="Z79" s="14">
        <f t="shared" si="267"/>
        <v>0</v>
      </c>
      <c r="AA79" s="17">
        <f t="shared" si="268"/>
        <v>0</v>
      </c>
      <c r="AB79" s="14">
        <f t="shared" si="269"/>
        <v>0</v>
      </c>
      <c r="AC79" s="14">
        <f t="shared" si="270"/>
        <v>0</v>
      </c>
      <c r="AD79" s="14">
        <f t="shared" si="271"/>
        <v>0</v>
      </c>
      <c r="AE79" s="14">
        <f t="shared" si="272"/>
        <v>0</v>
      </c>
      <c r="AF79" s="14">
        <f t="shared" si="273"/>
        <v>0</v>
      </c>
      <c r="AG79" s="14">
        <f t="shared" si="274"/>
        <v>0</v>
      </c>
      <c r="AH79" s="14">
        <f t="shared" si="275"/>
        <v>0</v>
      </c>
      <c r="AI79" s="14">
        <f t="shared" si="276"/>
        <v>0</v>
      </c>
      <c r="AJ79" s="14">
        <f t="shared" si="277"/>
        <v>0</v>
      </c>
      <c r="AK79" s="14">
        <f t="shared" si="278"/>
        <v>0</v>
      </c>
      <c r="AL79" s="14">
        <f t="shared" si="279"/>
        <v>0</v>
      </c>
      <c r="AM79" s="14">
        <f t="shared" si="280"/>
        <v>0</v>
      </c>
    </row>
    <row r="80" spans="1:39" x14ac:dyDescent="0.35">
      <c r="B80" s="1">
        <v>127</v>
      </c>
      <c r="C80" s="2" t="s">
        <v>118</v>
      </c>
      <c r="D80" s="4" t="s">
        <v>166</v>
      </c>
      <c r="E80" s="2"/>
      <c r="F80" s="2" t="s">
        <v>170</v>
      </c>
      <c r="L80" s="5"/>
      <c r="M80" s="155">
        <v>170000</v>
      </c>
      <c r="N80" s="170"/>
      <c r="O80" s="17">
        <f t="shared" si="257"/>
        <v>18890</v>
      </c>
      <c r="P80" s="14">
        <f t="shared" si="258"/>
        <v>18890</v>
      </c>
      <c r="Q80" s="17">
        <f t="shared" si="259"/>
        <v>13080</v>
      </c>
      <c r="R80" s="14">
        <f t="shared" si="260"/>
        <v>13080</v>
      </c>
      <c r="S80" s="14">
        <f t="shared" si="261"/>
        <v>13080</v>
      </c>
      <c r="T80" s="17">
        <f t="shared" si="281"/>
        <v>10630</v>
      </c>
      <c r="U80" s="14">
        <f t="shared" si="262"/>
        <v>10630</v>
      </c>
      <c r="V80" s="14">
        <f t="shared" si="263"/>
        <v>10630</v>
      </c>
      <c r="W80" s="17">
        <f t="shared" si="264"/>
        <v>8500</v>
      </c>
      <c r="X80" s="14">
        <f t="shared" si="265"/>
        <v>8500</v>
      </c>
      <c r="Y80" s="14">
        <f t="shared" si="266"/>
        <v>8500</v>
      </c>
      <c r="Z80" s="14">
        <f t="shared" si="267"/>
        <v>8500</v>
      </c>
      <c r="AA80" s="17">
        <f t="shared" si="268"/>
        <v>7080</v>
      </c>
      <c r="AB80" s="14">
        <f t="shared" si="269"/>
        <v>7080</v>
      </c>
      <c r="AC80" s="14">
        <f t="shared" si="270"/>
        <v>7080</v>
      </c>
      <c r="AD80" s="14">
        <f t="shared" si="271"/>
        <v>7080</v>
      </c>
      <c r="AE80" s="14">
        <f t="shared" si="272"/>
        <v>7080</v>
      </c>
      <c r="AF80" s="14">
        <f t="shared" si="273"/>
        <v>7080</v>
      </c>
      <c r="AG80" s="14">
        <f t="shared" si="274"/>
        <v>7080</v>
      </c>
      <c r="AH80" s="14">
        <f t="shared" si="275"/>
        <v>7080</v>
      </c>
      <c r="AI80" s="14">
        <f t="shared" si="276"/>
        <v>7080</v>
      </c>
      <c r="AJ80" s="14">
        <f t="shared" si="277"/>
        <v>7080</v>
      </c>
      <c r="AK80" s="14">
        <f t="shared" si="278"/>
        <v>7080</v>
      </c>
      <c r="AL80" s="14">
        <f t="shared" si="279"/>
        <v>7080</v>
      </c>
      <c r="AM80" s="14">
        <f t="shared" si="280"/>
        <v>7080</v>
      </c>
    </row>
    <row r="81" spans="1:39" x14ac:dyDescent="0.35">
      <c r="A81" t="s">
        <v>178</v>
      </c>
      <c r="B81" s="1">
        <v>143</v>
      </c>
      <c r="C81" s="2" t="s">
        <v>119</v>
      </c>
      <c r="D81" s="4" t="s">
        <v>166</v>
      </c>
      <c r="E81" s="2"/>
      <c r="F81" s="2" t="s">
        <v>167</v>
      </c>
      <c r="L81" s="5"/>
      <c r="M81" s="5"/>
      <c r="N81" s="170"/>
      <c r="O81" s="16"/>
      <c r="P81" s="14"/>
      <c r="Q81" s="16"/>
      <c r="R81" s="14"/>
      <c r="S81" s="14"/>
      <c r="T81" s="16"/>
      <c r="U81" s="14"/>
      <c r="V81" s="14"/>
      <c r="W81" s="16"/>
      <c r="X81" s="14"/>
      <c r="Y81" s="14"/>
      <c r="Z81" s="14"/>
      <c r="AA81" s="16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</row>
    <row r="82" spans="1:39" x14ac:dyDescent="0.35">
      <c r="B82" s="1">
        <v>146</v>
      </c>
      <c r="C82" s="2" t="s">
        <v>120</v>
      </c>
      <c r="D82" s="4" t="s">
        <v>166</v>
      </c>
      <c r="E82" s="2"/>
      <c r="F82" s="2" t="s">
        <v>168</v>
      </c>
      <c r="L82" s="5"/>
      <c r="M82" s="5"/>
      <c r="N82" s="170"/>
      <c r="O82" s="16"/>
      <c r="P82" s="14"/>
      <c r="Q82" s="16"/>
      <c r="R82" s="14"/>
      <c r="S82" s="14"/>
      <c r="T82" s="16"/>
      <c r="U82" s="14"/>
      <c r="V82" s="14"/>
      <c r="W82" s="16"/>
      <c r="X82" s="14"/>
      <c r="Y82" s="14"/>
      <c r="Z82" s="14"/>
      <c r="AA82" s="16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</row>
    <row r="83" spans="1:39" x14ac:dyDescent="0.35">
      <c r="B83" s="1">
        <v>139</v>
      </c>
      <c r="C83" s="2" t="s">
        <v>121</v>
      </c>
      <c r="D83" s="4" t="s">
        <v>166</v>
      </c>
      <c r="E83" s="2"/>
      <c r="F83" s="2" t="s">
        <v>168</v>
      </c>
      <c r="L83" s="5"/>
      <c r="M83" s="5"/>
      <c r="N83" s="170"/>
      <c r="O83" s="16"/>
      <c r="P83" s="14"/>
      <c r="Q83" s="16"/>
      <c r="R83" s="14"/>
      <c r="S83" s="14"/>
      <c r="T83" s="16"/>
      <c r="U83" s="14"/>
      <c r="V83" s="14"/>
      <c r="W83" s="16"/>
      <c r="X83" s="14"/>
      <c r="Y83" s="14"/>
      <c r="Z83" s="14"/>
      <c r="AA83" s="16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</row>
    <row r="84" spans="1:39" x14ac:dyDescent="0.35">
      <c r="B84" s="1">
        <v>121</v>
      </c>
      <c r="C84" s="164" t="s">
        <v>12</v>
      </c>
      <c r="D84" s="2" t="s">
        <v>13</v>
      </c>
      <c r="E84" s="2" t="s">
        <v>14</v>
      </c>
      <c r="F84" s="2" t="s">
        <v>169</v>
      </c>
      <c r="G84" s="6">
        <v>1160</v>
      </c>
      <c r="H84" s="6">
        <v>2600</v>
      </c>
      <c r="I84" s="155">
        <v>2600</v>
      </c>
      <c r="J84" s="155">
        <v>3250</v>
      </c>
      <c r="K84" s="155">
        <v>3250</v>
      </c>
      <c r="L84" s="155">
        <v>3250</v>
      </c>
      <c r="M84" s="155">
        <f>N84*1.2</f>
        <v>1485.6</v>
      </c>
      <c r="N84" s="169">
        <v>1238</v>
      </c>
      <c r="O84" s="18">
        <f>ROUND(M84/6,-1)</f>
        <v>250</v>
      </c>
      <c r="P84" s="14">
        <f>O84</f>
        <v>250</v>
      </c>
      <c r="Q84" s="18">
        <f>ROUND(M84/9,-1)</f>
        <v>170</v>
      </c>
      <c r="R84" s="14">
        <f>Q84</f>
        <v>170</v>
      </c>
      <c r="S84" s="14">
        <f>Q84</f>
        <v>170</v>
      </c>
      <c r="T84" s="18">
        <f>ROUND(M84/11,-1)</f>
        <v>140</v>
      </c>
      <c r="U84" s="14">
        <f>T84</f>
        <v>140</v>
      </c>
      <c r="V84" s="14">
        <f>T84</f>
        <v>140</v>
      </c>
      <c r="W84" s="18">
        <f>ROUND(M84/13,-1)</f>
        <v>110</v>
      </c>
      <c r="X84" s="14">
        <f>W84</f>
        <v>110</v>
      </c>
      <c r="Y84" s="14">
        <f>W84</f>
        <v>110</v>
      </c>
      <c r="Z84" s="14">
        <f>W84</f>
        <v>110</v>
      </c>
      <c r="AA84" s="18">
        <f>ROUND(M84/15,-1)</f>
        <v>100</v>
      </c>
      <c r="AB84" s="14">
        <f>AA84</f>
        <v>100</v>
      </c>
      <c r="AC84" s="14">
        <f t="shared" ref="AC84:AM84" si="282">AB84</f>
        <v>100</v>
      </c>
      <c r="AD84" s="14">
        <f t="shared" si="282"/>
        <v>100</v>
      </c>
      <c r="AE84" s="14">
        <f t="shared" si="282"/>
        <v>100</v>
      </c>
      <c r="AF84" s="14">
        <f t="shared" si="282"/>
        <v>100</v>
      </c>
      <c r="AG84" s="14">
        <f t="shared" si="282"/>
        <v>100</v>
      </c>
      <c r="AH84" s="14">
        <f t="shared" si="282"/>
        <v>100</v>
      </c>
      <c r="AI84" s="14">
        <f t="shared" si="282"/>
        <v>100</v>
      </c>
      <c r="AJ84" s="14">
        <f t="shared" si="282"/>
        <v>100</v>
      </c>
      <c r="AK84" s="14">
        <f t="shared" si="282"/>
        <v>100</v>
      </c>
      <c r="AL84" s="14">
        <f t="shared" si="282"/>
        <v>100</v>
      </c>
      <c r="AM84" s="14">
        <f t="shared" si="282"/>
        <v>100</v>
      </c>
    </row>
    <row r="85" spans="1:39" x14ac:dyDescent="0.35">
      <c r="A85" s="161">
        <v>44470</v>
      </c>
      <c r="B85" s="7">
        <v>187</v>
      </c>
      <c r="C85" s="164" t="s">
        <v>122</v>
      </c>
      <c r="D85" s="2" t="s">
        <v>13</v>
      </c>
      <c r="E85" s="2" t="s">
        <v>123</v>
      </c>
      <c r="F85" s="2" t="s">
        <v>169</v>
      </c>
      <c r="G85" s="6">
        <v>2316</v>
      </c>
      <c r="H85" s="6">
        <v>3400</v>
      </c>
      <c r="I85" s="155">
        <v>3400</v>
      </c>
      <c r="J85" s="155">
        <v>4250</v>
      </c>
      <c r="K85" s="155">
        <v>5500</v>
      </c>
      <c r="L85" s="155">
        <v>5500</v>
      </c>
      <c r="M85" s="155">
        <f>N85*1.2</f>
        <v>8571</v>
      </c>
      <c r="N85" s="173">
        <f>8571/1.2</f>
        <v>7142.5</v>
      </c>
      <c r="O85" s="18">
        <f>ROUND(M85/6,-1)</f>
        <v>1430</v>
      </c>
      <c r="P85" s="14">
        <f>O85</f>
        <v>1430</v>
      </c>
      <c r="Q85" s="18">
        <f>ROUND(M85/9,-1)</f>
        <v>950</v>
      </c>
      <c r="R85" s="14">
        <f t="shared" ref="R85" si="283">Q85</f>
        <v>950</v>
      </c>
      <c r="S85" s="14">
        <f t="shared" ref="S85" si="284">Q85</f>
        <v>950</v>
      </c>
      <c r="T85" s="18">
        <f>ROUND(M85/11,-1)</f>
        <v>780</v>
      </c>
      <c r="U85" s="14">
        <f t="shared" ref="U85" si="285">T85</f>
        <v>780</v>
      </c>
      <c r="V85" s="14">
        <f t="shared" ref="V85" si="286">T85</f>
        <v>780</v>
      </c>
      <c r="W85" s="18">
        <f>ROUND(M85/13,-1)</f>
        <v>660</v>
      </c>
      <c r="X85" s="14">
        <f t="shared" ref="X85" si="287">W85</f>
        <v>660</v>
      </c>
      <c r="Y85" s="14">
        <f t="shared" ref="Y85" si="288">W85</f>
        <v>660</v>
      </c>
      <c r="Z85" s="14">
        <f t="shared" ref="Z85" si="289">W85</f>
        <v>660</v>
      </c>
      <c r="AA85" s="18">
        <f>ROUND(M85/15,-1)</f>
        <v>570</v>
      </c>
      <c r="AB85" s="14">
        <f t="shared" ref="AB85:AM85" si="290">AA85</f>
        <v>570</v>
      </c>
      <c r="AC85" s="14">
        <f t="shared" si="290"/>
        <v>570</v>
      </c>
      <c r="AD85" s="14">
        <f t="shared" si="290"/>
        <v>570</v>
      </c>
      <c r="AE85" s="14">
        <f t="shared" si="290"/>
        <v>570</v>
      </c>
      <c r="AF85" s="14">
        <f t="shared" si="290"/>
        <v>570</v>
      </c>
      <c r="AG85" s="14">
        <f t="shared" si="290"/>
        <v>570</v>
      </c>
      <c r="AH85" s="14">
        <f t="shared" si="290"/>
        <v>570</v>
      </c>
      <c r="AI85" s="14">
        <f t="shared" si="290"/>
        <v>570</v>
      </c>
      <c r="AJ85" s="14">
        <f t="shared" si="290"/>
        <v>570</v>
      </c>
      <c r="AK85" s="14">
        <f t="shared" si="290"/>
        <v>570</v>
      </c>
      <c r="AL85" s="14">
        <f t="shared" si="290"/>
        <v>570</v>
      </c>
      <c r="AM85" s="14">
        <f t="shared" si="290"/>
        <v>570</v>
      </c>
    </row>
    <row r="86" spans="1:39" x14ac:dyDescent="0.35">
      <c r="A86" s="161">
        <v>44470</v>
      </c>
      <c r="B86" s="7">
        <v>89</v>
      </c>
      <c r="C86" s="164" t="s">
        <v>124</v>
      </c>
      <c r="D86" s="2" t="s">
        <v>13</v>
      </c>
      <c r="E86" s="2" t="s">
        <v>123</v>
      </c>
      <c r="F86" s="2" t="s">
        <v>169</v>
      </c>
      <c r="G86" s="6">
        <v>4873</v>
      </c>
      <c r="H86" s="6">
        <v>6300</v>
      </c>
      <c r="I86" s="155">
        <v>6300</v>
      </c>
      <c r="J86" s="155">
        <v>7875</v>
      </c>
      <c r="K86" s="155">
        <v>10000</v>
      </c>
      <c r="L86" s="155">
        <v>11241</v>
      </c>
      <c r="M86" s="155">
        <f>N86*1.2</f>
        <v>14327.000000000002</v>
      </c>
      <c r="N86" s="173">
        <f>14327/1.2</f>
        <v>11939.166666666668</v>
      </c>
      <c r="O86" s="18">
        <f>ROUND(M86/6,-1)</f>
        <v>2390</v>
      </c>
      <c r="P86" s="14">
        <f>O86</f>
        <v>2390</v>
      </c>
      <c r="Q86" s="18">
        <f>ROUND(M86/9,-1)</f>
        <v>1590</v>
      </c>
      <c r="R86" s="14">
        <f>Q86</f>
        <v>1590</v>
      </c>
      <c r="S86" s="14">
        <f>Q86</f>
        <v>1590</v>
      </c>
      <c r="T86" s="18">
        <f>ROUND(M86/11,-1)</f>
        <v>1300</v>
      </c>
      <c r="U86" s="14">
        <f>T86</f>
        <v>1300</v>
      </c>
      <c r="V86" s="14">
        <f>T86</f>
        <v>1300</v>
      </c>
      <c r="W86" s="18">
        <f>ROUND(M86/13,-1)</f>
        <v>1100</v>
      </c>
      <c r="X86" s="14">
        <f>W86</f>
        <v>1100</v>
      </c>
      <c r="Y86" s="14">
        <f>W86</f>
        <v>1100</v>
      </c>
      <c r="Z86" s="14">
        <f>W86</f>
        <v>1100</v>
      </c>
      <c r="AA86" s="18">
        <f>ROUND(M86/15,-1)</f>
        <v>960</v>
      </c>
      <c r="AB86" s="14">
        <f t="shared" ref="AB86:AM86" si="291">AA86</f>
        <v>960</v>
      </c>
      <c r="AC86" s="14">
        <f t="shared" si="291"/>
        <v>960</v>
      </c>
      <c r="AD86" s="14">
        <f t="shared" si="291"/>
        <v>960</v>
      </c>
      <c r="AE86" s="14">
        <f t="shared" si="291"/>
        <v>960</v>
      </c>
      <c r="AF86" s="14">
        <f t="shared" si="291"/>
        <v>960</v>
      </c>
      <c r="AG86" s="14">
        <f t="shared" si="291"/>
        <v>960</v>
      </c>
      <c r="AH86" s="14">
        <f t="shared" si="291"/>
        <v>960</v>
      </c>
      <c r="AI86" s="14">
        <f t="shared" si="291"/>
        <v>960</v>
      </c>
      <c r="AJ86" s="14">
        <f t="shared" si="291"/>
        <v>960</v>
      </c>
      <c r="AK86" s="14">
        <f t="shared" si="291"/>
        <v>960</v>
      </c>
      <c r="AL86" s="14">
        <f t="shared" si="291"/>
        <v>960</v>
      </c>
      <c r="AM86" s="14">
        <f t="shared" si="291"/>
        <v>960</v>
      </c>
    </row>
    <row r="87" spans="1:39" hidden="1" x14ac:dyDescent="0.35">
      <c r="B87" s="1"/>
      <c r="C87" s="164" t="s">
        <v>184</v>
      </c>
      <c r="D87" s="2" t="s">
        <v>1</v>
      </c>
      <c r="E87" s="3"/>
      <c r="F87" s="2" t="s">
        <v>169</v>
      </c>
      <c r="G87" s="6">
        <v>120</v>
      </c>
      <c r="H87" s="6">
        <v>120</v>
      </c>
      <c r="I87" s="6">
        <v>120</v>
      </c>
      <c r="J87" s="6">
        <v>120</v>
      </c>
      <c r="K87" s="6">
        <v>120</v>
      </c>
      <c r="L87" s="155">
        <v>420</v>
      </c>
      <c r="M87" s="155">
        <v>420</v>
      </c>
      <c r="O87" s="15" t="s">
        <v>183</v>
      </c>
      <c r="Q87" s="15">
        <f>ROUND(M87/13,-1)</f>
        <v>30</v>
      </c>
      <c r="R87" s="108">
        <f>Q87</f>
        <v>30</v>
      </c>
      <c r="S87" s="108">
        <f>Q87</f>
        <v>30</v>
      </c>
      <c r="T87" s="15">
        <f>ROUND(M87/16,-1)</f>
        <v>30</v>
      </c>
      <c r="U87" s="108">
        <f>T87</f>
        <v>30</v>
      </c>
      <c r="V87" s="108">
        <f>T87</f>
        <v>30</v>
      </c>
      <c r="W87" s="15">
        <f>ROUND(M87/20,-1)</f>
        <v>20</v>
      </c>
      <c r="X87" s="108">
        <f>W87</f>
        <v>20</v>
      </c>
      <c r="Y87" s="108">
        <f>W87</f>
        <v>20</v>
      </c>
      <c r="Z87" s="108">
        <f>W87</f>
        <v>20</v>
      </c>
      <c r="AA87" s="15">
        <f>ROUND(M87/24,-1)</f>
        <v>20</v>
      </c>
      <c r="AB87" s="108">
        <f t="shared" ref="AB87:AM87" si="292">AA87</f>
        <v>20</v>
      </c>
      <c r="AC87" s="108">
        <f t="shared" si="292"/>
        <v>20</v>
      </c>
      <c r="AD87" s="108">
        <f t="shared" si="292"/>
        <v>20</v>
      </c>
      <c r="AE87" s="108">
        <f t="shared" si="292"/>
        <v>20</v>
      </c>
      <c r="AF87" s="108">
        <f t="shared" si="292"/>
        <v>20</v>
      </c>
      <c r="AG87" s="108">
        <f t="shared" si="292"/>
        <v>20</v>
      </c>
      <c r="AH87" s="108">
        <f t="shared" si="292"/>
        <v>20</v>
      </c>
      <c r="AI87" s="108">
        <f t="shared" si="292"/>
        <v>20</v>
      </c>
      <c r="AJ87" s="108">
        <f t="shared" si="292"/>
        <v>20</v>
      </c>
      <c r="AK87" s="108">
        <f t="shared" si="292"/>
        <v>20</v>
      </c>
      <c r="AL87" s="108">
        <f t="shared" si="292"/>
        <v>20</v>
      </c>
      <c r="AM87" s="108">
        <f t="shared" si="292"/>
        <v>20</v>
      </c>
    </row>
    <row r="88" spans="1:39" s="118" customFormat="1" x14ac:dyDescent="0.35">
      <c r="B88" s="1"/>
      <c r="C88" s="12" t="s">
        <v>185</v>
      </c>
      <c r="D88" s="2" t="s">
        <v>1</v>
      </c>
      <c r="E88" s="45"/>
      <c r="F88" s="46" t="s">
        <v>169</v>
      </c>
      <c r="G88" s="119">
        <f>1300+500</f>
        <v>1800</v>
      </c>
      <c r="H88" s="6">
        <v>1200</v>
      </c>
      <c r="I88" s="119">
        <f>1300+500</f>
        <v>1800</v>
      </c>
      <c r="J88" s="119">
        <v>1800</v>
      </c>
      <c r="K88" s="119">
        <v>1800</v>
      </c>
      <c r="N88" s="170"/>
      <c r="O88" s="120">
        <f>ROUND(M88/9,-1)</f>
        <v>0</v>
      </c>
      <c r="P88" s="121">
        <f>O88</f>
        <v>0</v>
      </c>
      <c r="Q88" s="120">
        <f>ROUND(M88/13,-1)</f>
        <v>0</v>
      </c>
      <c r="R88" s="121">
        <f>Q88</f>
        <v>0</v>
      </c>
      <c r="S88" s="121">
        <f>Q88</f>
        <v>0</v>
      </c>
      <c r="T88" s="120">
        <f>ROUND(M88/16,-1)</f>
        <v>0</v>
      </c>
      <c r="U88" s="121">
        <f>T88</f>
        <v>0</v>
      </c>
      <c r="V88" s="121">
        <f>T88</f>
        <v>0</v>
      </c>
      <c r="W88" s="120">
        <f>ROUND(M88/20,-1)</f>
        <v>0</v>
      </c>
      <c r="X88" s="121">
        <f>W88</f>
        <v>0</v>
      </c>
      <c r="Y88" s="121">
        <f>W88</f>
        <v>0</v>
      </c>
      <c r="Z88" s="121">
        <f>W88</f>
        <v>0</v>
      </c>
      <c r="AA88" s="120">
        <f>ROUND(M88/24,-1)</f>
        <v>0</v>
      </c>
      <c r="AB88" s="121">
        <f t="shared" ref="AB88:AM88" si="293">AA88</f>
        <v>0</v>
      </c>
      <c r="AC88" s="121">
        <f t="shared" si="293"/>
        <v>0</v>
      </c>
      <c r="AD88" s="121">
        <f t="shared" si="293"/>
        <v>0</v>
      </c>
      <c r="AE88" s="121">
        <f t="shared" si="293"/>
        <v>0</v>
      </c>
      <c r="AF88" s="121">
        <f t="shared" si="293"/>
        <v>0</v>
      </c>
      <c r="AG88" s="121">
        <f t="shared" si="293"/>
        <v>0</v>
      </c>
      <c r="AH88" s="121">
        <f t="shared" si="293"/>
        <v>0</v>
      </c>
      <c r="AI88" s="121">
        <f t="shared" si="293"/>
        <v>0</v>
      </c>
      <c r="AJ88" s="121">
        <f t="shared" si="293"/>
        <v>0</v>
      </c>
      <c r="AK88" s="121">
        <f t="shared" si="293"/>
        <v>0</v>
      </c>
      <c r="AL88" s="121">
        <f t="shared" si="293"/>
        <v>0</v>
      </c>
      <c r="AM88" s="121">
        <f t="shared" si="293"/>
        <v>0</v>
      </c>
    </row>
    <row r="89" spans="1:39" x14ac:dyDescent="0.35">
      <c r="A89" t="s">
        <v>178</v>
      </c>
      <c r="B89" s="1">
        <v>110</v>
      </c>
      <c r="C89" s="2" t="s">
        <v>125</v>
      </c>
      <c r="D89" s="4" t="s">
        <v>166</v>
      </c>
      <c r="E89" s="2"/>
      <c r="F89" s="2" t="s">
        <v>168</v>
      </c>
      <c r="L89" s="5"/>
      <c r="M89" s="5"/>
      <c r="N89" s="170"/>
      <c r="O89" s="16"/>
      <c r="P89" s="14"/>
      <c r="Q89" s="16"/>
      <c r="R89" s="14"/>
      <c r="S89" s="14"/>
      <c r="T89" s="16"/>
      <c r="U89" s="14"/>
      <c r="V89" s="14"/>
      <c r="W89" s="16"/>
      <c r="X89" s="14"/>
      <c r="Y89" s="14"/>
      <c r="Z89" s="14"/>
      <c r="AA89" s="16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</row>
    <row r="90" spans="1:39" x14ac:dyDescent="0.35">
      <c r="A90" t="s">
        <v>178</v>
      </c>
      <c r="B90" s="1">
        <v>145</v>
      </c>
      <c r="C90" s="2" t="s">
        <v>126</v>
      </c>
      <c r="D90" s="4" t="s">
        <v>166</v>
      </c>
      <c r="E90" s="2"/>
      <c r="F90" s="2" t="s">
        <v>171</v>
      </c>
      <c r="L90" s="5"/>
      <c r="M90" s="5"/>
      <c r="N90" s="170"/>
      <c r="O90" s="16"/>
      <c r="P90" s="14"/>
      <c r="Q90" s="16"/>
      <c r="R90" s="14"/>
      <c r="S90" s="14"/>
      <c r="T90" s="16"/>
      <c r="U90" s="14"/>
      <c r="V90" s="14"/>
      <c r="W90" s="16"/>
      <c r="X90" s="14"/>
      <c r="Y90" s="14"/>
      <c r="Z90" s="14"/>
      <c r="AA90" s="16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</row>
    <row r="91" spans="1:39" x14ac:dyDescent="0.35">
      <c r="A91" s="161">
        <v>44470</v>
      </c>
      <c r="B91" s="7">
        <v>12</v>
      </c>
      <c r="C91" s="164" t="s">
        <v>127</v>
      </c>
      <c r="D91" s="2" t="s">
        <v>13</v>
      </c>
      <c r="E91" s="2" t="s">
        <v>128</v>
      </c>
      <c r="F91" s="2" t="s">
        <v>169</v>
      </c>
      <c r="G91" s="6">
        <f>2316*1.1</f>
        <v>2547.6000000000004</v>
      </c>
      <c r="H91" s="6">
        <v>3500</v>
      </c>
      <c r="I91" s="155">
        <v>3500</v>
      </c>
      <c r="J91" s="155">
        <v>4375</v>
      </c>
      <c r="K91" s="155">
        <v>5500</v>
      </c>
      <c r="L91" s="163">
        <v>8090</v>
      </c>
      <c r="M91" s="163">
        <f>N91*1.2</f>
        <v>7791.5999999999995</v>
      </c>
      <c r="N91" s="169">
        <v>6493</v>
      </c>
      <c r="O91" s="18">
        <f>ROUND(M91/6,-1)</f>
        <v>1300</v>
      </c>
      <c r="P91" s="14">
        <f>O91</f>
        <v>1300</v>
      </c>
      <c r="Q91" s="18">
        <f>ROUND(M91/9,-1)</f>
        <v>870</v>
      </c>
      <c r="R91" s="14">
        <f>Q91</f>
        <v>870</v>
      </c>
      <c r="S91" s="14">
        <f>Q91</f>
        <v>870</v>
      </c>
      <c r="T91" s="18">
        <f>ROUND(M91/11,-1)</f>
        <v>710</v>
      </c>
      <c r="U91" s="14">
        <f>T91</f>
        <v>710</v>
      </c>
      <c r="V91" s="14">
        <f>T91</f>
        <v>710</v>
      </c>
      <c r="W91" s="18">
        <f>ROUND(M91/13,-1)</f>
        <v>600</v>
      </c>
      <c r="X91" s="14">
        <f>W91</f>
        <v>600</v>
      </c>
      <c r="Y91" s="14">
        <f>W91</f>
        <v>600</v>
      </c>
      <c r="Z91" s="14">
        <f>W91</f>
        <v>600</v>
      </c>
      <c r="AA91" s="18">
        <f>ROUND(M91/15,-1)</f>
        <v>520</v>
      </c>
      <c r="AB91" s="14">
        <f>AA91</f>
        <v>520</v>
      </c>
      <c r="AC91" s="14">
        <f t="shared" ref="AC91:AM91" si="294">AB91</f>
        <v>520</v>
      </c>
      <c r="AD91" s="14">
        <f t="shared" si="294"/>
        <v>520</v>
      </c>
      <c r="AE91" s="14">
        <f t="shared" si="294"/>
        <v>520</v>
      </c>
      <c r="AF91" s="14">
        <f t="shared" si="294"/>
        <v>520</v>
      </c>
      <c r="AG91" s="14">
        <f t="shared" si="294"/>
        <v>520</v>
      </c>
      <c r="AH91" s="14">
        <f t="shared" si="294"/>
        <v>520</v>
      </c>
      <c r="AI91" s="14">
        <f t="shared" si="294"/>
        <v>520</v>
      </c>
      <c r="AJ91" s="14">
        <f t="shared" si="294"/>
        <v>520</v>
      </c>
      <c r="AK91" s="14">
        <f t="shared" si="294"/>
        <v>520</v>
      </c>
      <c r="AL91" s="14">
        <f t="shared" si="294"/>
        <v>520</v>
      </c>
      <c r="AM91" s="14">
        <f t="shared" si="294"/>
        <v>520</v>
      </c>
    </row>
    <row r="92" spans="1:39" x14ac:dyDescent="0.35">
      <c r="A92" t="s">
        <v>178</v>
      </c>
      <c r="B92" s="1">
        <v>221</v>
      </c>
      <c r="C92" s="2" t="s">
        <v>129</v>
      </c>
      <c r="D92" s="4" t="s">
        <v>166</v>
      </c>
      <c r="E92" s="2" t="s">
        <v>5</v>
      </c>
      <c r="F92" s="2" t="s">
        <v>168</v>
      </c>
      <c r="L92" s="5"/>
      <c r="M92" s="5"/>
      <c r="N92" s="170"/>
      <c r="O92" s="16"/>
      <c r="P92" s="14"/>
      <c r="Q92" s="16"/>
      <c r="R92" s="14"/>
      <c r="S92" s="14"/>
      <c r="T92" s="16"/>
      <c r="U92" s="14"/>
      <c r="V92" s="14"/>
      <c r="W92" s="16"/>
      <c r="X92" s="14"/>
      <c r="Y92" s="14"/>
      <c r="Z92" s="14"/>
      <c r="AA92" s="16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spans="1:39" x14ac:dyDescent="0.35">
      <c r="B93" s="11">
        <v>111</v>
      </c>
      <c r="C93" s="12" t="s">
        <v>130</v>
      </c>
      <c r="D93" s="162" t="s">
        <v>166</v>
      </c>
      <c r="E93" s="12"/>
      <c r="F93" s="12" t="s">
        <v>168</v>
      </c>
      <c r="L93" s="5"/>
      <c r="M93" s="5"/>
      <c r="N93" s="170"/>
      <c r="O93" s="16"/>
      <c r="P93" s="14"/>
      <c r="Q93" s="16"/>
      <c r="R93" s="14"/>
      <c r="S93" s="14"/>
      <c r="T93" s="16"/>
      <c r="U93" s="14"/>
      <c r="V93" s="14"/>
      <c r="W93" s="16"/>
      <c r="X93" s="14"/>
      <c r="Y93" s="14"/>
      <c r="Z93" s="14"/>
      <c r="AA93" s="16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</row>
    <row r="94" spans="1:39" x14ac:dyDescent="0.35">
      <c r="B94" s="1">
        <v>157</v>
      </c>
      <c r="C94" s="2" t="s">
        <v>131</v>
      </c>
      <c r="D94" s="2" t="s">
        <v>13</v>
      </c>
      <c r="E94" s="2"/>
      <c r="F94" s="2" t="s">
        <v>169</v>
      </c>
      <c r="J94" s="6">
        <v>0</v>
      </c>
      <c r="K94" s="155">
        <v>0</v>
      </c>
      <c r="L94" s="5"/>
      <c r="M94" s="5"/>
      <c r="N94" s="170"/>
      <c r="O94" s="16"/>
      <c r="P94" s="14"/>
      <c r="Q94" s="16"/>
      <c r="R94" s="14"/>
      <c r="S94" s="14"/>
      <c r="T94" s="16"/>
      <c r="U94" s="14"/>
      <c r="V94" s="14"/>
      <c r="W94" s="16"/>
      <c r="X94" s="14"/>
      <c r="Y94" s="14"/>
      <c r="Z94" s="14"/>
      <c r="AA94" s="16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</row>
    <row r="95" spans="1:39" x14ac:dyDescent="0.35">
      <c r="B95" s="1">
        <v>15</v>
      </c>
      <c r="C95" s="164" t="s">
        <v>333</v>
      </c>
      <c r="D95" s="2" t="s">
        <v>13</v>
      </c>
      <c r="E95" s="2" t="s">
        <v>86</v>
      </c>
      <c r="F95" s="2" t="s">
        <v>169</v>
      </c>
      <c r="G95" s="6">
        <v>63600</v>
      </c>
      <c r="H95" s="6">
        <v>52500</v>
      </c>
      <c r="I95" s="6">
        <v>63600</v>
      </c>
      <c r="J95" s="6">
        <v>79500</v>
      </c>
      <c r="K95" s="155">
        <v>79500</v>
      </c>
      <c r="L95" s="155">
        <v>100000</v>
      </c>
      <c r="M95" s="155">
        <f>N95*1.2</f>
        <v>114000</v>
      </c>
      <c r="N95" s="169">
        <f>61000+24000+10000</f>
        <v>95000</v>
      </c>
      <c r="O95" s="18">
        <f>ROUND(M95/6,-1)</f>
        <v>19000</v>
      </c>
      <c r="P95" s="14">
        <f t="shared" ref="P95:P102" si="295">O95</f>
        <v>19000</v>
      </c>
      <c r="Q95" s="18">
        <f>ROUND(M95/9,-1)</f>
        <v>12670</v>
      </c>
      <c r="R95" s="14">
        <f>Q95</f>
        <v>12670</v>
      </c>
      <c r="S95" s="14">
        <f>Q95</f>
        <v>12670</v>
      </c>
      <c r="T95" s="18">
        <f>ROUND(M95/11,-1)</f>
        <v>10360</v>
      </c>
      <c r="U95" s="14">
        <f>T95</f>
        <v>10360</v>
      </c>
      <c r="V95" s="14">
        <f>T95</f>
        <v>10360</v>
      </c>
      <c r="W95" s="18">
        <f>ROUND(M95/13,-1)</f>
        <v>8770</v>
      </c>
      <c r="X95" s="14">
        <f>W95</f>
        <v>8770</v>
      </c>
      <c r="Y95" s="14">
        <f>W95</f>
        <v>8770</v>
      </c>
      <c r="Z95" s="14">
        <f>W95</f>
        <v>8770</v>
      </c>
      <c r="AA95" s="18">
        <f>ROUND(M95/15,-1)</f>
        <v>7600</v>
      </c>
      <c r="AB95" s="14">
        <f t="shared" ref="AB95" si="296">AA95</f>
        <v>7600</v>
      </c>
      <c r="AC95" s="14">
        <f t="shared" ref="AC95" si="297">AB95</f>
        <v>7600</v>
      </c>
      <c r="AD95" s="14">
        <f t="shared" ref="AD95" si="298">AC95</f>
        <v>7600</v>
      </c>
      <c r="AE95" s="14">
        <f t="shared" ref="AE95" si="299">AD95</f>
        <v>7600</v>
      </c>
      <c r="AF95" s="14">
        <f t="shared" ref="AF95" si="300">AE95</f>
        <v>7600</v>
      </c>
      <c r="AG95" s="14">
        <f t="shared" ref="AG95" si="301">AF95</f>
        <v>7600</v>
      </c>
      <c r="AH95" s="14">
        <f t="shared" ref="AH95" si="302">AG95</f>
        <v>7600</v>
      </c>
      <c r="AI95" s="14">
        <f t="shared" ref="AI95" si="303">AH95</f>
        <v>7600</v>
      </c>
      <c r="AJ95" s="14">
        <f t="shared" ref="AJ95" si="304">AI95</f>
        <v>7600</v>
      </c>
      <c r="AK95" s="14">
        <f t="shared" ref="AK95" si="305">AJ95</f>
        <v>7600</v>
      </c>
      <c r="AL95" s="14">
        <f t="shared" ref="AL95" si="306">AK95</f>
        <v>7600</v>
      </c>
      <c r="AM95" s="14">
        <f t="shared" ref="AM95" si="307">AL95</f>
        <v>7600</v>
      </c>
    </row>
    <row r="96" spans="1:39" x14ac:dyDescent="0.35">
      <c r="A96" s="161">
        <v>44470</v>
      </c>
      <c r="B96" s="7">
        <v>1</v>
      </c>
      <c r="C96" s="164" t="s">
        <v>204</v>
      </c>
      <c r="D96" s="12" t="s">
        <v>13</v>
      </c>
      <c r="E96" s="12" t="s">
        <v>63</v>
      </c>
      <c r="F96" s="12" t="s">
        <v>169</v>
      </c>
      <c r="G96" s="6">
        <f>1.1*6200</f>
        <v>6820.0000000000009</v>
      </c>
      <c r="H96" s="6">
        <v>5800</v>
      </c>
      <c r="I96" s="107">
        <v>6200</v>
      </c>
      <c r="J96" s="107">
        <v>7750</v>
      </c>
      <c r="K96" s="155">
        <v>9000</v>
      </c>
      <c r="L96" s="166">
        <v>9000</v>
      </c>
      <c r="M96" s="166">
        <f>N96*1.2</f>
        <v>10560</v>
      </c>
      <c r="N96" s="169">
        <v>8800</v>
      </c>
      <c r="O96" s="18">
        <f>ROUND(M96/6,-1)</f>
        <v>1760</v>
      </c>
      <c r="P96" s="14">
        <f t="shared" si="295"/>
        <v>1760</v>
      </c>
      <c r="Q96" s="18">
        <f>ROUND(M96/9,-1)</f>
        <v>1170</v>
      </c>
      <c r="R96" s="14">
        <f>Q96</f>
        <v>1170</v>
      </c>
      <c r="S96" s="14">
        <f>Q96</f>
        <v>1170</v>
      </c>
      <c r="T96" s="18">
        <f>ROUND(M96/11,-1)</f>
        <v>960</v>
      </c>
      <c r="U96" s="14">
        <f>T96</f>
        <v>960</v>
      </c>
      <c r="V96" s="14">
        <f>T96</f>
        <v>960</v>
      </c>
      <c r="W96" s="18">
        <f>ROUND(M96/13,-1)</f>
        <v>810</v>
      </c>
      <c r="X96" s="14">
        <f>W96</f>
        <v>810</v>
      </c>
      <c r="Y96" s="14">
        <f>W96</f>
        <v>810</v>
      </c>
      <c r="Z96" s="14">
        <f>W96</f>
        <v>810</v>
      </c>
      <c r="AA96" s="18">
        <f>ROUND(M96/15,-1)</f>
        <v>700</v>
      </c>
      <c r="AB96" s="14">
        <f t="shared" ref="AB96:AM96" si="308">AA96</f>
        <v>700</v>
      </c>
      <c r="AC96" s="14">
        <f t="shared" si="308"/>
        <v>700</v>
      </c>
      <c r="AD96" s="14">
        <f t="shared" si="308"/>
        <v>700</v>
      </c>
      <c r="AE96" s="14">
        <f t="shared" si="308"/>
        <v>700</v>
      </c>
      <c r="AF96" s="14">
        <f t="shared" si="308"/>
        <v>700</v>
      </c>
      <c r="AG96" s="14">
        <f t="shared" si="308"/>
        <v>700</v>
      </c>
      <c r="AH96" s="14">
        <f t="shared" si="308"/>
        <v>700</v>
      </c>
      <c r="AI96" s="14">
        <f t="shared" si="308"/>
        <v>700</v>
      </c>
      <c r="AJ96" s="14">
        <f t="shared" si="308"/>
        <v>700</v>
      </c>
      <c r="AK96" s="14">
        <f t="shared" si="308"/>
        <v>700</v>
      </c>
      <c r="AL96" s="14">
        <f t="shared" si="308"/>
        <v>700</v>
      </c>
      <c r="AM96" s="14">
        <f t="shared" si="308"/>
        <v>700</v>
      </c>
    </row>
    <row r="97" spans="1:39" x14ac:dyDescent="0.35">
      <c r="B97" s="11"/>
      <c r="C97" s="46" t="s">
        <v>204</v>
      </c>
      <c r="D97" s="12" t="s">
        <v>13</v>
      </c>
      <c r="E97" s="12"/>
      <c r="F97" s="12" t="s">
        <v>169</v>
      </c>
      <c r="G97" s="107">
        <v>6200</v>
      </c>
      <c r="H97" s="107"/>
      <c r="I97" s="107">
        <v>6200</v>
      </c>
      <c r="J97" s="107">
        <v>7750</v>
      </c>
      <c r="K97" s="155"/>
      <c r="L97" s="155">
        <f>H97*1.25</f>
        <v>0</v>
      </c>
      <c r="M97" s="155">
        <f>I97*1.25</f>
        <v>7750</v>
      </c>
      <c r="O97" s="18">
        <f>ROUND(M97/5,-1)</f>
        <v>1550</v>
      </c>
      <c r="P97" s="14">
        <f t="shared" si="295"/>
        <v>1550</v>
      </c>
      <c r="Q97" s="18">
        <f>ROUND(M97/7,-1)</f>
        <v>1110</v>
      </c>
      <c r="R97" s="14">
        <f>Q97</f>
        <v>1110</v>
      </c>
      <c r="S97" s="14">
        <f>Q97</f>
        <v>1110</v>
      </c>
      <c r="T97" s="18">
        <f>ROUND(M97/10,-1)</f>
        <v>780</v>
      </c>
      <c r="U97" s="14">
        <f>T97</f>
        <v>780</v>
      </c>
      <c r="V97" s="14">
        <f>T97</f>
        <v>780</v>
      </c>
      <c r="W97" s="18">
        <f>ROUND(M97/12,-1)</f>
        <v>650</v>
      </c>
      <c r="X97" s="14">
        <f>W97</f>
        <v>650</v>
      </c>
      <c r="Y97" s="14">
        <f>W97</f>
        <v>650</v>
      </c>
      <c r="Z97" s="14">
        <f>W97</f>
        <v>650</v>
      </c>
      <c r="AA97" s="18">
        <f>ROUND(M97/14,-1)</f>
        <v>550</v>
      </c>
      <c r="AB97" s="14">
        <f t="shared" ref="AB97:AM97" si="309">AA97</f>
        <v>550</v>
      </c>
      <c r="AC97" s="14">
        <f t="shared" si="309"/>
        <v>550</v>
      </c>
      <c r="AD97" s="14">
        <f t="shared" si="309"/>
        <v>550</v>
      </c>
      <c r="AE97" s="14">
        <f t="shared" si="309"/>
        <v>550</v>
      </c>
      <c r="AF97" s="14">
        <f t="shared" si="309"/>
        <v>550</v>
      </c>
      <c r="AG97" s="14">
        <f t="shared" si="309"/>
        <v>550</v>
      </c>
      <c r="AH97" s="14">
        <f t="shared" si="309"/>
        <v>550</v>
      </c>
      <c r="AI97" s="14">
        <f t="shared" si="309"/>
        <v>550</v>
      </c>
      <c r="AJ97" s="14">
        <f t="shared" si="309"/>
        <v>550</v>
      </c>
      <c r="AK97" s="14">
        <f t="shared" si="309"/>
        <v>550</v>
      </c>
      <c r="AL97" s="14">
        <f t="shared" si="309"/>
        <v>550</v>
      </c>
      <c r="AM97" s="14">
        <f t="shared" si="309"/>
        <v>550</v>
      </c>
    </row>
    <row r="98" spans="1:39" x14ac:dyDescent="0.35">
      <c r="A98" s="161">
        <v>44470</v>
      </c>
      <c r="B98" s="7">
        <v>86</v>
      </c>
      <c r="C98" s="164" t="s">
        <v>205</v>
      </c>
      <c r="D98" s="2" t="s">
        <v>13</v>
      </c>
      <c r="E98" s="2" t="s">
        <v>132</v>
      </c>
      <c r="F98" s="2" t="s">
        <v>169</v>
      </c>
      <c r="G98" s="6">
        <f>3690*1.1</f>
        <v>4059.0000000000005</v>
      </c>
      <c r="H98" s="6">
        <v>3800</v>
      </c>
      <c r="I98" s="155">
        <v>3800</v>
      </c>
      <c r="J98" s="155">
        <v>4750</v>
      </c>
      <c r="K98" s="155">
        <v>7000</v>
      </c>
      <c r="L98" s="163">
        <v>8600</v>
      </c>
      <c r="M98" s="181">
        <f>N98*1.2</f>
        <v>12720</v>
      </c>
      <c r="N98" s="169">
        <v>10600</v>
      </c>
      <c r="O98" s="18">
        <f>ROUND(M98/6,-1)</f>
        <v>2120</v>
      </c>
      <c r="P98" s="14">
        <f t="shared" si="295"/>
        <v>2120</v>
      </c>
      <c r="Q98" s="18">
        <f>ROUND(M98/9,-1)</f>
        <v>1410</v>
      </c>
      <c r="R98" s="14">
        <f t="shared" ref="R98:R102" si="310">Q98</f>
        <v>1410</v>
      </c>
      <c r="S98" s="14">
        <f t="shared" ref="S98:S102" si="311">Q98</f>
        <v>1410</v>
      </c>
      <c r="T98" s="18">
        <f>ROUND(M98/11,-1)</f>
        <v>1160</v>
      </c>
      <c r="U98" s="14">
        <f t="shared" ref="U98:U102" si="312">T98</f>
        <v>1160</v>
      </c>
      <c r="V98" s="14">
        <f t="shared" ref="V98:V102" si="313">T98</f>
        <v>1160</v>
      </c>
      <c r="W98" s="18">
        <f>ROUND(M98/13,-1)</f>
        <v>980</v>
      </c>
      <c r="X98" s="14">
        <f t="shared" ref="X98:X102" si="314">W98</f>
        <v>980</v>
      </c>
      <c r="Y98" s="14">
        <f t="shared" ref="Y98:Y102" si="315">W98</f>
        <v>980</v>
      </c>
      <c r="Z98" s="14">
        <f t="shared" ref="Z98:Z102" si="316">W98</f>
        <v>980</v>
      </c>
      <c r="AA98" s="18">
        <f>ROUND(M98/15,-1)</f>
        <v>850</v>
      </c>
      <c r="AB98" s="14">
        <f t="shared" ref="AB98:AM98" si="317">AA98</f>
        <v>850</v>
      </c>
      <c r="AC98" s="14">
        <f t="shared" si="317"/>
        <v>850</v>
      </c>
      <c r="AD98" s="14">
        <f t="shared" si="317"/>
        <v>850</v>
      </c>
      <c r="AE98" s="14">
        <f t="shared" si="317"/>
        <v>850</v>
      </c>
      <c r="AF98" s="14">
        <f t="shared" si="317"/>
        <v>850</v>
      </c>
      <c r="AG98" s="14">
        <f t="shared" si="317"/>
        <v>850</v>
      </c>
      <c r="AH98" s="14">
        <f t="shared" si="317"/>
        <v>850</v>
      </c>
      <c r="AI98" s="14">
        <f t="shared" si="317"/>
        <v>850</v>
      </c>
      <c r="AJ98" s="14">
        <f t="shared" si="317"/>
        <v>850</v>
      </c>
      <c r="AK98" s="14">
        <f t="shared" si="317"/>
        <v>850</v>
      </c>
      <c r="AL98" s="14">
        <f t="shared" si="317"/>
        <v>850</v>
      </c>
      <c r="AM98" s="14">
        <f t="shared" si="317"/>
        <v>850</v>
      </c>
    </row>
    <row r="99" spans="1:39" x14ac:dyDescent="0.35">
      <c r="A99" s="161">
        <v>44470</v>
      </c>
      <c r="B99" s="7">
        <v>13</v>
      </c>
      <c r="C99" s="164" t="s">
        <v>206</v>
      </c>
      <c r="D99" s="2" t="s">
        <v>13</v>
      </c>
      <c r="E99" s="2" t="s">
        <v>133</v>
      </c>
      <c r="F99" s="2" t="s">
        <v>169</v>
      </c>
      <c r="G99" s="6">
        <f>4800*1.07</f>
        <v>5136</v>
      </c>
      <c r="H99" s="6">
        <v>4800</v>
      </c>
      <c r="I99" s="155">
        <v>4800</v>
      </c>
      <c r="J99" s="155">
        <v>6000</v>
      </c>
      <c r="K99" s="155">
        <v>9000</v>
      </c>
      <c r="L99" s="163">
        <v>10000</v>
      </c>
      <c r="M99" s="163">
        <f>N99*1.2</f>
        <v>13920</v>
      </c>
      <c r="N99" s="169">
        <v>11600</v>
      </c>
      <c r="O99" s="18">
        <f>ROUND(M99/6,-1)</f>
        <v>2320</v>
      </c>
      <c r="P99" s="14">
        <f t="shared" si="295"/>
        <v>2320</v>
      </c>
      <c r="Q99" s="18">
        <f>ROUND(M99/9,-1)</f>
        <v>1550</v>
      </c>
      <c r="R99" s="14">
        <f t="shared" si="310"/>
        <v>1550</v>
      </c>
      <c r="S99" s="14">
        <f t="shared" si="311"/>
        <v>1550</v>
      </c>
      <c r="T99" s="18">
        <f>ROUND(M99/11,-1)</f>
        <v>1270</v>
      </c>
      <c r="U99" s="14">
        <f t="shared" si="312"/>
        <v>1270</v>
      </c>
      <c r="V99" s="14">
        <f t="shared" si="313"/>
        <v>1270</v>
      </c>
      <c r="W99" s="18">
        <f>ROUND(M99/13,-1)</f>
        <v>1070</v>
      </c>
      <c r="X99" s="14">
        <f t="shared" si="314"/>
        <v>1070</v>
      </c>
      <c r="Y99" s="14">
        <f t="shared" si="315"/>
        <v>1070</v>
      </c>
      <c r="Z99" s="14">
        <f t="shared" si="316"/>
        <v>1070</v>
      </c>
      <c r="AA99" s="18">
        <f>ROUND(M99/15,-1)</f>
        <v>930</v>
      </c>
      <c r="AB99" s="14">
        <f t="shared" ref="AB99:AM99" si="318">AA99</f>
        <v>930</v>
      </c>
      <c r="AC99" s="14">
        <f t="shared" si="318"/>
        <v>930</v>
      </c>
      <c r="AD99" s="14">
        <f t="shared" si="318"/>
        <v>930</v>
      </c>
      <c r="AE99" s="14">
        <f t="shared" si="318"/>
        <v>930</v>
      </c>
      <c r="AF99" s="14">
        <f t="shared" si="318"/>
        <v>930</v>
      </c>
      <c r="AG99" s="14">
        <f t="shared" si="318"/>
        <v>930</v>
      </c>
      <c r="AH99" s="14">
        <f t="shared" si="318"/>
        <v>930</v>
      </c>
      <c r="AI99" s="14">
        <f t="shared" si="318"/>
        <v>930</v>
      </c>
      <c r="AJ99" s="14">
        <f t="shared" si="318"/>
        <v>930</v>
      </c>
      <c r="AK99" s="14">
        <f t="shared" si="318"/>
        <v>930</v>
      </c>
      <c r="AL99" s="14">
        <f t="shared" si="318"/>
        <v>930</v>
      </c>
      <c r="AM99" s="14">
        <f t="shared" si="318"/>
        <v>930</v>
      </c>
    </row>
    <row r="100" spans="1:39" x14ac:dyDescent="0.35">
      <c r="A100" s="161">
        <v>44470</v>
      </c>
      <c r="B100" s="7">
        <v>183</v>
      </c>
      <c r="C100" s="164" t="s">
        <v>207</v>
      </c>
      <c r="D100" s="2" t="s">
        <v>13</v>
      </c>
      <c r="E100" s="2" t="s">
        <v>134</v>
      </c>
      <c r="F100" s="2" t="s">
        <v>169</v>
      </c>
      <c r="G100" s="6">
        <f>2930*1.1</f>
        <v>3223.0000000000005</v>
      </c>
      <c r="H100" s="6">
        <v>3200</v>
      </c>
      <c r="I100" s="155">
        <v>3200</v>
      </c>
      <c r="J100" s="155">
        <v>4000</v>
      </c>
      <c r="K100" s="155">
        <v>7000</v>
      </c>
      <c r="L100" s="163">
        <v>7000</v>
      </c>
      <c r="M100" s="163">
        <f>N100*1.2</f>
        <v>10320</v>
      </c>
      <c r="N100" s="169">
        <v>8600</v>
      </c>
      <c r="O100" s="18">
        <f>ROUND(M100/6,-1)</f>
        <v>1720</v>
      </c>
      <c r="P100" s="14">
        <f t="shared" si="295"/>
        <v>1720</v>
      </c>
      <c r="Q100" s="18">
        <f>ROUND(M100/9,-1)</f>
        <v>1150</v>
      </c>
      <c r="R100" s="14">
        <f t="shared" si="310"/>
        <v>1150</v>
      </c>
      <c r="S100" s="14">
        <f t="shared" si="311"/>
        <v>1150</v>
      </c>
      <c r="T100" s="18">
        <f>ROUND(M100/11,-1)</f>
        <v>940</v>
      </c>
      <c r="U100" s="14">
        <f t="shared" si="312"/>
        <v>940</v>
      </c>
      <c r="V100" s="14">
        <f t="shared" si="313"/>
        <v>940</v>
      </c>
      <c r="W100" s="18">
        <f>ROUND(M100/13,-1)</f>
        <v>790</v>
      </c>
      <c r="X100" s="14">
        <f t="shared" si="314"/>
        <v>790</v>
      </c>
      <c r="Y100" s="14">
        <f t="shared" si="315"/>
        <v>790</v>
      </c>
      <c r="Z100" s="14">
        <f t="shared" si="316"/>
        <v>790</v>
      </c>
      <c r="AA100" s="18">
        <f>ROUND(M100/15,-1)</f>
        <v>690</v>
      </c>
      <c r="AB100" s="14">
        <f t="shared" ref="AB100:AM100" si="319">AA100</f>
        <v>690</v>
      </c>
      <c r="AC100" s="14">
        <f t="shared" si="319"/>
        <v>690</v>
      </c>
      <c r="AD100" s="14">
        <f t="shared" si="319"/>
        <v>690</v>
      </c>
      <c r="AE100" s="14">
        <f t="shared" si="319"/>
        <v>690</v>
      </c>
      <c r="AF100" s="14">
        <f t="shared" si="319"/>
        <v>690</v>
      </c>
      <c r="AG100" s="14">
        <f t="shared" si="319"/>
        <v>690</v>
      </c>
      <c r="AH100" s="14">
        <f t="shared" si="319"/>
        <v>690</v>
      </c>
      <c r="AI100" s="14">
        <f t="shared" si="319"/>
        <v>690</v>
      </c>
      <c r="AJ100" s="14">
        <f t="shared" si="319"/>
        <v>690</v>
      </c>
      <c r="AK100" s="14">
        <f t="shared" si="319"/>
        <v>690</v>
      </c>
      <c r="AL100" s="14">
        <f t="shared" si="319"/>
        <v>690</v>
      </c>
      <c r="AM100" s="14">
        <f t="shared" si="319"/>
        <v>690</v>
      </c>
    </row>
    <row r="101" spans="1:39" x14ac:dyDescent="0.35">
      <c r="B101" s="1">
        <v>3</v>
      </c>
      <c r="C101" s="164" t="s">
        <v>242</v>
      </c>
      <c r="D101" s="2" t="s">
        <v>13</v>
      </c>
      <c r="E101" s="2" t="s">
        <v>135</v>
      </c>
      <c r="F101" s="2" t="s">
        <v>169</v>
      </c>
      <c r="G101" s="6">
        <f>740*1.1</f>
        <v>814.00000000000011</v>
      </c>
      <c r="H101" s="6">
        <v>1200</v>
      </c>
      <c r="I101" s="155">
        <v>1200</v>
      </c>
      <c r="J101" s="155">
        <v>1500</v>
      </c>
      <c r="K101" s="155">
        <v>1500</v>
      </c>
      <c r="L101" s="163">
        <v>1500</v>
      </c>
      <c r="M101" s="163">
        <f>N101*1.2</f>
        <v>2499.6</v>
      </c>
      <c r="N101" s="169">
        <v>2083</v>
      </c>
      <c r="O101" s="18">
        <f>ROUND(M101/6,-1)</f>
        <v>420</v>
      </c>
      <c r="P101" s="14">
        <f t="shared" si="295"/>
        <v>420</v>
      </c>
      <c r="Q101" s="18">
        <f>ROUND(M101/9,-1)</f>
        <v>280</v>
      </c>
      <c r="R101" s="14">
        <f t="shared" si="310"/>
        <v>280</v>
      </c>
      <c r="S101" s="14">
        <f t="shared" si="311"/>
        <v>280</v>
      </c>
      <c r="T101" s="18">
        <f>ROUND(M101/11,-1)</f>
        <v>230</v>
      </c>
      <c r="U101" s="14">
        <f t="shared" si="312"/>
        <v>230</v>
      </c>
      <c r="V101" s="14">
        <f t="shared" si="313"/>
        <v>230</v>
      </c>
      <c r="W101" s="18">
        <f>ROUND(M101/13,-1)</f>
        <v>190</v>
      </c>
      <c r="X101" s="14">
        <f t="shared" si="314"/>
        <v>190</v>
      </c>
      <c r="Y101" s="14">
        <f t="shared" si="315"/>
        <v>190</v>
      </c>
      <c r="Z101" s="14">
        <f t="shared" si="316"/>
        <v>190</v>
      </c>
      <c r="AA101" s="18">
        <f>ROUND(M101/15,-1)</f>
        <v>170</v>
      </c>
      <c r="AB101" s="14">
        <f t="shared" ref="AB101:AM102" si="320">AA101</f>
        <v>170</v>
      </c>
      <c r="AC101" s="14">
        <f t="shared" si="320"/>
        <v>170</v>
      </c>
      <c r="AD101" s="14">
        <f t="shared" si="320"/>
        <v>170</v>
      </c>
      <c r="AE101" s="14">
        <f t="shared" si="320"/>
        <v>170</v>
      </c>
      <c r="AF101" s="14">
        <f t="shared" si="320"/>
        <v>170</v>
      </c>
      <c r="AG101" s="14">
        <f t="shared" si="320"/>
        <v>170</v>
      </c>
      <c r="AH101" s="14">
        <f t="shared" si="320"/>
        <v>170</v>
      </c>
      <c r="AI101" s="14">
        <f t="shared" si="320"/>
        <v>170</v>
      </c>
      <c r="AJ101" s="14">
        <f t="shared" si="320"/>
        <v>170</v>
      </c>
      <c r="AK101" s="14">
        <f t="shared" si="320"/>
        <v>170</v>
      </c>
      <c r="AL101" s="14">
        <f t="shared" si="320"/>
        <v>170</v>
      </c>
      <c r="AM101" s="14">
        <f t="shared" si="320"/>
        <v>170</v>
      </c>
    </row>
    <row r="102" spans="1:39" x14ac:dyDescent="0.35">
      <c r="B102" s="1">
        <v>186</v>
      </c>
      <c r="C102" s="2" t="s">
        <v>136</v>
      </c>
      <c r="D102" s="2" t="s">
        <v>1</v>
      </c>
      <c r="E102" s="2"/>
      <c r="F102" s="2" t="s">
        <v>168</v>
      </c>
      <c r="L102" s="5"/>
      <c r="M102" s="5"/>
      <c r="N102" s="170"/>
      <c r="O102" s="16"/>
      <c r="P102" s="14">
        <f t="shared" si="295"/>
        <v>0</v>
      </c>
      <c r="Q102" s="17">
        <f>ROUND(M102/13,-1)</f>
        <v>0</v>
      </c>
      <c r="R102" s="14">
        <f t="shared" si="310"/>
        <v>0</v>
      </c>
      <c r="S102" s="14">
        <f t="shared" si="311"/>
        <v>0</v>
      </c>
      <c r="T102" s="17">
        <f>ROUND(M102/16,-1)</f>
        <v>0</v>
      </c>
      <c r="U102" s="14">
        <f t="shared" si="312"/>
        <v>0</v>
      </c>
      <c r="V102" s="14">
        <f t="shared" si="313"/>
        <v>0</v>
      </c>
      <c r="W102" s="17">
        <f>ROUND(M102/20,-1)</f>
        <v>0</v>
      </c>
      <c r="X102" s="14">
        <f t="shared" si="314"/>
        <v>0</v>
      </c>
      <c r="Y102" s="14">
        <f t="shared" si="315"/>
        <v>0</v>
      </c>
      <c r="Z102" s="14">
        <f t="shared" si="316"/>
        <v>0</v>
      </c>
      <c r="AA102" s="17">
        <f>ROUND(M102/24,-1)</f>
        <v>0</v>
      </c>
      <c r="AB102" s="14">
        <f t="shared" si="320"/>
        <v>0</v>
      </c>
      <c r="AC102" s="14">
        <f t="shared" si="320"/>
        <v>0</v>
      </c>
      <c r="AD102" s="14">
        <f t="shared" si="320"/>
        <v>0</v>
      </c>
      <c r="AE102" s="14">
        <f t="shared" si="320"/>
        <v>0</v>
      </c>
      <c r="AF102" s="14">
        <f t="shared" si="320"/>
        <v>0</v>
      </c>
      <c r="AG102" s="14">
        <f t="shared" si="320"/>
        <v>0</v>
      </c>
      <c r="AH102" s="14">
        <f t="shared" si="320"/>
        <v>0</v>
      </c>
      <c r="AI102" s="14">
        <f t="shared" si="320"/>
        <v>0</v>
      </c>
      <c r="AJ102" s="14">
        <f t="shared" si="320"/>
        <v>0</v>
      </c>
      <c r="AK102" s="14">
        <f t="shared" si="320"/>
        <v>0</v>
      </c>
      <c r="AL102" s="14">
        <f t="shared" si="320"/>
        <v>0</v>
      </c>
      <c r="AM102" s="14">
        <f t="shared" si="320"/>
        <v>0</v>
      </c>
    </row>
    <row r="103" spans="1:39" x14ac:dyDescent="0.35">
      <c r="B103" s="1">
        <v>164</v>
      </c>
      <c r="C103" s="2" t="s">
        <v>137</v>
      </c>
      <c r="D103" s="2" t="s">
        <v>1</v>
      </c>
      <c r="E103" s="2" t="s">
        <v>138</v>
      </c>
      <c r="F103" s="2" t="s">
        <v>168</v>
      </c>
      <c r="L103" s="5"/>
      <c r="M103" s="5"/>
      <c r="N103" s="170"/>
      <c r="O103" s="16"/>
      <c r="P103" s="14"/>
      <c r="Q103" s="16"/>
      <c r="R103" s="14"/>
      <c r="S103" s="14"/>
      <c r="T103" s="16"/>
      <c r="U103" s="14"/>
      <c r="V103" s="14"/>
      <c r="W103" s="16"/>
      <c r="X103" s="14"/>
      <c r="Y103" s="14"/>
      <c r="Z103" s="14"/>
      <c r="AA103" s="16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</row>
    <row r="104" spans="1:39" x14ac:dyDescent="0.35">
      <c r="B104" s="11">
        <v>224</v>
      </c>
      <c r="C104" s="12" t="s">
        <v>139</v>
      </c>
      <c r="D104" s="12" t="s">
        <v>13</v>
      </c>
      <c r="E104" s="12" t="s">
        <v>140</v>
      </c>
      <c r="F104" s="12" t="s">
        <v>168</v>
      </c>
      <c r="J104" s="6">
        <v>0</v>
      </c>
      <c r="K104" s="155">
        <v>0</v>
      </c>
      <c r="L104" s="5"/>
      <c r="M104" s="5"/>
      <c r="N104" s="170"/>
      <c r="O104" s="16"/>
      <c r="P104" s="14">
        <f>O104</f>
        <v>0</v>
      </c>
      <c r="Q104" s="17">
        <f>ROUND(M104/13,-1)</f>
        <v>0</v>
      </c>
      <c r="R104" s="14">
        <f t="shared" ref="R104" si="321">Q104</f>
        <v>0</v>
      </c>
      <c r="S104" s="14">
        <f t="shared" ref="S104" si="322">Q104</f>
        <v>0</v>
      </c>
      <c r="T104" s="17">
        <f>ROUND(M104/16,-1)</f>
        <v>0</v>
      </c>
      <c r="U104" s="14">
        <f t="shared" ref="U104" si="323">T104</f>
        <v>0</v>
      </c>
      <c r="V104" s="14">
        <f t="shared" ref="V104" si="324">T104</f>
        <v>0</v>
      </c>
      <c r="W104" s="17">
        <f>ROUND(M104/20,-1)</f>
        <v>0</v>
      </c>
      <c r="X104" s="14">
        <f t="shared" ref="X104" si="325">W104</f>
        <v>0</v>
      </c>
      <c r="Y104" s="14">
        <f t="shared" ref="Y104" si="326">W104</f>
        <v>0</v>
      </c>
      <c r="Z104" s="14">
        <f t="shared" ref="Z104" si="327">W104</f>
        <v>0</v>
      </c>
      <c r="AA104" s="17">
        <f>ROUND(M104/24,-1)</f>
        <v>0</v>
      </c>
      <c r="AB104" s="14">
        <f t="shared" ref="AB104" si="328">AA104</f>
        <v>0</v>
      </c>
      <c r="AC104" s="14">
        <f t="shared" ref="AC104" si="329">AB104</f>
        <v>0</v>
      </c>
      <c r="AD104" s="14">
        <f t="shared" ref="AD104" si="330">AC104</f>
        <v>0</v>
      </c>
      <c r="AE104" s="14">
        <f t="shared" ref="AE104" si="331">AD104</f>
        <v>0</v>
      </c>
      <c r="AF104" s="14">
        <f t="shared" ref="AF104" si="332">AE104</f>
        <v>0</v>
      </c>
      <c r="AG104" s="14">
        <f t="shared" ref="AG104" si="333">AF104</f>
        <v>0</v>
      </c>
      <c r="AH104" s="14">
        <f t="shared" ref="AH104" si="334">AG104</f>
        <v>0</v>
      </c>
      <c r="AI104" s="14">
        <f t="shared" ref="AI104" si="335">AH104</f>
        <v>0</v>
      </c>
      <c r="AJ104" s="14">
        <f t="shared" ref="AJ104" si="336">AI104</f>
        <v>0</v>
      </c>
      <c r="AK104" s="14">
        <f t="shared" ref="AK104" si="337">AJ104</f>
        <v>0</v>
      </c>
      <c r="AL104" s="14">
        <f t="shared" ref="AL104" si="338">AK104</f>
        <v>0</v>
      </c>
      <c r="AM104" s="14">
        <f t="shared" ref="AM104" si="339">AL104</f>
        <v>0</v>
      </c>
    </row>
    <row r="105" spans="1:39" x14ac:dyDescent="0.35">
      <c r="B105" s="1">
        <v>91</v>
      </c>
      <c r="C105" s="2" t="s">
        <v>141</v>
      </c>
      <c r="D105" s="2" t="s">
        <v>81</v>
      </c>
      <c r="E105" s="2"/>
      <c r="F105" s="2" t="s">
        <v>168</v>
      </c>
      <c r="L105" s="5"/>
      <c r="M105" s="5"/>
      <c r="N105" s="170"/>
      <c r="O105" s="16"/>
      <c r="P105" s="14"/>
      <c r="Q105" s="16"/>
      <c r="R105" s="14"/>
      <c r="S105" s="14"/>
      <c r="T105" s="16"/>
      <c r="U105" s="14"/>
      <c r="V105" s="14"/>
      <c r="W105" s="16"/>
      <c r="X105" s="14"/>
      <c r="Y105" s="14"/>
      <c r="Z105" s="14"/>
      <c r="AA105" s="16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</row>
    <row r="106" spans="1:39" x14ac:dyDescent="0.35">
      <c r="A106" s="161">
        <v>44470</v>
      </c>
      <c r="B106" s="7">
        <v>7</v>
      </c>
      <c r="C106" s="164" t="s">
        <v>208</v>
      </c>
      <c r="D106" s="2" t="s">
        <v>13</v>
      </c>
      <c r="E106" s="2" t="s">
        <v>142</v>
      </c>
      <c r="F106" s="2" t="s">
        <v>169</v>
      </c>
      <c r="G106" s="6">
        <v>5981</v>
      </c>
      <c r="H106" s="6">
        <v>7000</v>
      </c>
      <c r="I106" s="155">
        <v>7000</v>
      </c>
      <c r="J106" s="155">
        <v>8750</v>
      </c>
      <c r="K106" s="155">
        <v>12000</v>
      </c>
      <c r="L106" s="155">
        <v>15000</v>
      </c>
      <c r="M106" s="155">
        <f>N106*1.2</f>
        <v>13152</v>
      </c>
      <c r="N106" s="169">
        <v>10960</v>
      </c>
      <c r="O106" s="18">
        <f>ROUND(M106/9,-1)</f>
        <v>1460</v>
      </c>
      <c r="P106" s="14">
        <f t="shared" ref="P106:P113" si="340">O106</f>
        <v>1460</v>
      </c>
      <c r="Q106" s="18">
        <f>ROUND(M106/11,-1)</f>
        <v>1200</v>
      </c>
      <c r="R106" s="14">
        <f>Q106</f>
        <v>1200</v>
      </c>
      <c r="S106" s="14">
        <f>Q106</f>
        <v>1200</v>
      </c>
      <c r="T106" s="18">
        <f>ROUND(M106/14,-1)</f>
        <v>940</v>
      </c>
      <c r="U106" s="14">
        <f>T106</f>
        <v>940</v>
      </c>
      <c r="V106" s="14">
        <f>T106</f>
        <v>940</v>
      </c>
      <c r="W106" s="18">
        <f>ROUND(M106/16,-1)</f>
        <v>820</v>
      </c>
      <c r="X106" s="14">
        <f>W106</f>
        <v>820</v>
      </c>
      <c r="Y106" s="14">
        <f>W106</f>
        <v>820</v>
      </c>
      <c r="Z106" s="14">
        <f>W106</f>
        <v>820</v>
      </c>
      <c r="AA106" s="18">
        <f>ROUND(M106/17,-1)</f>
        <v>770</v>
      </c>
      <c r="AB106" s="14">
        <f>AA106</f>
        <v>770</v>
      </c>
      <c r="AC106" s="14">
        <f t="shared" ref="AC106:AM106" si="341">AB106</f>
        <v>770</v>
      </c>
      <c r="AD106" s="14">
        <f t="shared" si="341"/>
        <v>770</v>
      </c>
      <c r="AE106" s="14">
        <f t="shared" si="341"/>
        <v>770</v>
      </c>
      <c r="AF106" s="14">
        <f t="shared" si="341"/>
        <v>770</v>
      </c>
      <c r="AG106" s="14">
        <f t="shared" si="341"/>
        <v>770</v>
      </c>
      <c r="AH106" s="14">
        <f t="shared" si="341"/>
        <v>770</v>
      </c>
      <c r="AI106" s="14">
        <f t="shared" si="341"/>
        <v>770</v>
      </c>
      <c r="AJ106" s="14">
        <f t="shared" si="341"/>
        <v>770</v>
      </c>
      <c r="AK106" s="14">
        <f t="shared" si="341"/>
        <v>770</v>
      </c>
      <c r="AL106" s="14">
        <f t="shared" si="341"/>
        <v>770</v>
      </c>
      <c r="AM106" s="14">
        <f t="shared" si="341"/>
        <v>770</v>
      </c>
    </row>
    <row r="107" spans="1:39" x14ac:dyDescent="0.35">
      <c r="A107" s="161">
        <v>44470</v>
      </c>
      <c r="B107" s="7">
        <v>9</v>
      </c>
      <c r="C107" s="180" t="s">
        <v>209</v>
      </c>
      <c r="D107" s="2" t="s">
        <v>13</v>
      </c>
      <c r="E107" s="2" t="s">
        <v>155</v>
      </c>
      <c r="F107" s="2" t="s">
        <v>169</v>
      </c>
      <c r="G107" s="6">
        <f>4300*1.1</f>
        <v>4730</v>
      </c>
      <c r="H107" s="6">
        <v>7400</v>
      </c>
      <c r="I107" s="155">
        <v>7400</v>
      </c>
      <c r="J107" s="155">
        <v>9250</v>
      </c>
      <c r="K107" s="155">
        <v>9500</v>
      </c>
      <c r="L107" s="155">
        <v>15000</v>
      </c>
      <c r="M107" s="155">
        <f t="shared" ref="M107:M113" si="342">N107*1.2</f>
        <v>15999.599999999999</v>
      </c>
      <c r="N107" s="169">
        <v>13333</v>
      </c>
      <c r="O107" s="18">
        <f>O109</f>
        <v>2800</v>
      </c>
      <c r="P107" s="14">
        <f t="shared" si="340"/>
        <v>2800</v>
      </c>
      <c r="Q107" s="18">
        <f>Q109</f>
        <v>1870</v>
      </c>
      <c r="R107" s="14">
        <f>Q107</f>
        <v>1870</v>
      </c>
      <c r="S107" s="14">
        <f>Q107</f>
        <v>1870</v>
      </c>
      <c r="T107" s="18">
        <f>ROUND(M107/14,-1)</f>
        <v>1140</v>
      </c>
      <c r="U107" s="14">
        <f>T107</f>
        <v>1140</v>
      </c>
      <c r="V107" s="14">
        <f>T107</f>
        <v>1140</v>
      </c>
      <c r="W107" s="18">
        <f>ROUND(M107/16,-1)</f>
        <v>1000</v>
      </c>
      <c r="X107" s="14">
        <f>W107</f>
        <v>1000</v>
      </c>
      <c r="Y107" s="14">
        <f>W107</f>
        <v>1000</v>
      </c>
      <c r="Z107" s="14">
        <f>W107</f>
        <v>1000</v>
      </c>
      <c r="AA107" s="18">
        <f>ROUND(M107/18,-1)</f>
        <v>890</v>
      </c>
      <c r="AB107" s="14">
        <f t="shared" ref="AB107:AM107" si="343">AA107</f>
        <v>890</v>
      </c>
      <c r="AC107" s="14">
        <f t="shared" si="343"/>
        <v>890</v>
      </c>
      <c r="AD107" s="14">
        <f t="shared" si="343"/>
        <v>890</v>
      </c>
      <c r="AE107" s="14">
        <f t="shared" si="343"/>
        <v>890</v>
      </c>
      <c r="AF107" s="14">
        <f t="shared" si="343"/>
        <v>890</v>
      </c>
      <c r="AG107" s="14">
        <f t="shared" si="343"/>
        <v>890</v>
      </c>
      <c r="AH107" s="14">
        <f t="shared" si="343"/>
        <v>890</v>
      </c>
      <c r="AI107" s="14">
        <f t="shared" si="343"/>
        <v>890</v>
      </c>
      <c r="AJ107" s="14">
        <f t="shared" si="343"/>
        <v>890</v>
      </c>
      <c r="AK107" s="14">
        <f t="shared" si="343"/>
        <v>890</v>
      </c>
      <c r="AL107" s="14">
        <f t="shared" si="343"/>
        <v>890</v>
      </c>
      <c r="AM107" s="14">
        <f t="shared" si="343"/>
        <v>890</v>
      </c>
    </row>
    <row r="108" spans="1:39" x14ac:dyDescent="0.35">
      <c r="A108" s="161">
        <v>44470</v>
      </c>
      <c r="B108" s="7">
        <v>10</v>
      </c>
      <c r="C108" s="180" t="s">
        <v>210</v>
      </c>
      <c r="D108" s="2" t="s">
        <v>13</v>
      </c>
      <c r="E108" s="2" t="s">
        <v>156</v>
      </c>
      <c r="F108" s="2" t="s">
        <v>169</v>
      </c>
      <c r="G108" s="6">
        <f>6332*1.07</f>
        <v>6775.2400000000007</v>
      </c>
      <c r="H108" s="6">
        <v>6300</v>
      </c>
      <c r="I108" s="155">
        <v>6300</v>
      </c>
      <c r="J108" s="155">
        <v>7875</v>
      </c>
      <c r="K108" s="155">
        <v>9500</v>
      </c>
      <c r="L108" s="163">
        <v>15000</v>
      </c>
      <c r="M108" s="155">
        <f t="shared" si="342"/>
        <v>18999.599999999999</v>
      </c>
      <c r="N108" s="169">
        <v>15833</v>
      </c>
      <c r="O108" s="18">
        <f>ROUND(M108/6,-1)</f>
        <v>3170</v>
      </c>
      <c r="P108" s="14">
        <f t="shared" si="340"/>
        <v>3170</v>
      </c>
      <c r="Q108" s="18">
        <f t="shared" ref="Q108:Q113" si="344">ROUND(M108/9,-1)</f>
        <v>2110</v>
      </c>
      <c r="R108" s="14">
        <f>Q108</f>
        <v>2110</v>
      </c>
      <c r="S108" s="14">
        <f>Q108</f>
        <v>2110</v>
      </c>
      <c r="T108" s="18">
        <f>ROUND(M108/11,-1)</f>
        <v>1730</v>
      </c>
      <c r="U108" s="14">
        <f>T108</f>
        <v>1730</v>
      </c>
      <c r="V108" s="14">
        <f>T108</f>
        <v>1730</v>
      </c>
      <c r="W108" s="18">
        <f>ROUND(M108/13,-1)</f>
        <v>1460</v>
      </c>
      <c r="X108" s="14">
        <f>W108</f>
        <v>1460</v>
      </c>
      <c r="Y108" s="14">
        <f>W108</f>
        <v>1460</v>
      </c>
      <c r="Z108" s="14">
        <f>W108</f>
        <v>1460</v>
      </c>
      <c r="AA108" s="18">
        <f>ROUND(M108/15,-1)</f>
        <v>1270</v>
      </c>
      <c r="AB108" s="14">
        <f t="shared" ref="AB108:AM108" si="345">AA108</f>
        <v>1270</v>
      </c>
      <c r="AC108" s="14">
        <f t="shared" si="345"/>
        <v>1270</v>
      </c>
      <c r="AD108" s="14">
        <f t="shared" si="345"/>
        <v>1270</v>
      </c>
      <c r="AE108" s="14">
        <f t="shared" si="345"/>
        <v>1270</v>
      </c>
      <c r="AF108" s="14">
        <f t="shared" si="345"/>
        <v>1270</v>
      </c>
      <c r="AG108" s="14">
        <f t="shared" si="345"/>
        <v>1270</v>
      </c>
      <c r="AH108" s="14">
        <f t="shared" si="345"/>
        <v>1270</v>
      </c>
      <c r="AI108" s="14">
        <f t="shared" si="345"/>
        <v>1270</v>
      </c>
      <c r="AJ108" s="14">
        <f t="shared" si="345"/>
        <v>1270</v>
      </c>
      <c r="AK108" s="14">
        <f t="shared" si="345"/>
        <v>1270</v>
      </c>
      <c r="AL108" s="14">
        <f t="shared" si="345"/>
        <v>1270</v>
      </c>
      <c r="AM108" s="14">
        <f t="shared" si="345"/>
        <v>1270</v>
      </c>
    </row>
    <row r="109" spans="1:39" x14ac:dyDescent="0.35">
      <c r="A109" s="161">
        <v>44470</v>
      </c>
      <c r="B109" s="7">
        <v>6</v>
      </c>
      <c r="C109" s="180" t="s">
        <v>211</v>
      </c>
      <c r="D109" s="2" t="s">
        <v>13</v>
      </c>
      <c r="E109" s="2" t="s">
        <v>158</v>
      </c>
      <c r="F109" s="2" t="s">
        <v>169</v>
      </c>
      <c r="G109" s="6">
        <f>5154*1.05</f>
        <v>5411.7</v>
      </c>
      <c r="H109" s="6">
        <v>8000</v>
      </c>
      <c r="I109" s="155">
        <v>8000</v>
      </c>
      <c r="J109" s="155">
        <v>10000</v>
      </c>
      <c r="K109" s="155">
        <v>10000</v>
      </c>
      <c r="L109" s="155">
        <v>15000</v>
      </c>
      <c r="M109" s="155">
        <f t="shared" si="342"/>
        <v>16800</v>
      </c>
      <c r="N109" s="169">
        <v>14000</v>
      </c>
      <c r="O109" s="18">
        <f>ROUND(M109/6,-1)</f>
        <v>2800</v>
      </c>
      <c r="P109" s="14">
        <f t="shared" si="340"/>
        <v>2800</v>
      </c>
      <c r="Q109" s="18">
        <f t="shared" si="344"/>
        <v>1870</v>
      </c>
      <c r="R109" s="14">
        <f>Q109</f>
        <v>1870</v>
      </c>
      <c r="S109" s="14">
        <f>Q109</f>
        <v>1870</v>
      </c>
      <c r="T109" s="18">
        <f>ROUND(M109/11,-1)</f>
        <v>1530</v>
      </c>
      <c r="U109" s="14">
        <f>T109</f>
        <v>1530</v>
      </c>
      <c r="V109" s="14">
        <f>T109</f>
        <v>1530</v>
      </c>
      <c r="W109" s="18">
        <f>ROUND(M109/13,-1)</f>
        <v>1290</v>
      </c>
      <c r="X109" s="14">
        <f>W109</f>
        <v>1290</v>
      </c>
      <c r="Y109" s="14">
        <f>W109</f>
        <v>1290</v>
      </c>
      <c r="Z109" s="14">
        <f>W109</f>
        <v>1290</v>
      </c>
      <c r="AA109" s="18">
        <f>ROUND(M109/15,-1)</f>
        <v>1120</v>
      </c>
      <c r="AB109" s="14">
        <f t="shared" ref="AB109:AM109" si="346">AA109</f>
        <v>1120</v>
      </c>
      <c r="AC109" s="14">
        <f t="shared" si="346"/>
        <v>1120</v>
      </c>
      <c r="AD109" s="14">
        <f t="shared" si="346"/>
        <v>1120</v>
      </c>
      <c r="AE109" s="14">
        <f t="shared" si="346"/>
        <v>1120</v>
      </c>
      <c r="AF109" s="14">
        <f t="shared" si="346"/>
        <v>1120</v>
      </c>
      <c r="AG109" s="14">
        <f t="shared" si="346"/>
        <v>1120</v>
      </c>
      <c r="AH109" s="14">
        <f t="shared" si="346"/>
        <v>1120</v>
      </c>
      <c r="AI109" s="14">
        <f t="shared" si="346"/>
        <v>1120</v>
      </c>
      <c r="AJ109" s="14">
        <f t="shared" si="346"/>
        <v>1120</v>
      </c>
      <c r="AK109" s="14">
        <f t="shared" si="346"/>
        <v>1120</v>
      </c>
      <c r="AL109" s="14">
        <f t="shared" si="346"/>
        <v>1120</v>
      </c>
      <c r="AM109" s="14">
        <f t="shared" si="346"/>
        <v>1120</v>
      </c>
    </row>
    <row r="110" spans="1:39" x14ac:dyDescent="0.35">
      <c r="A110" s="161"/>
      <c r="B110" s="7"/>
      <c r="C110" s="179" t="s">
        <v>351</v>
      </c>
      <c r="D110" s="2"/>
      <c r="E110" s="2"/>
      <c r="F110" s="2"/>
      <c r="I110" s="155"/>
      <c r="J110" s="155"/>
      <c r="K110" s="155"/>
      <c r="L110" s="155"/>
      <c r="M110" s="155">
        <f t="shared" si="342"/>
        <v>13500</v>
      </c>
      <c r="N110" s="169">
        <v>11250</v>
      </c>
      <c r="O110" s="18">
        <f t="shared" ref="O110:O111" si="347">ROUND(M110/6,-1)</f>
        <v>2250</v>
      </c>
      <c r="P110" s="14">
        <f t="shared" si="340"/>
        <v>2250</v>
      </c>
      <c r="Q110" s="18">
        <f t="shared" si="344"/>
        <v>1500</v>
      </c>
      <c r="R110" s="14">
        <f t="shared" ref="R110:R111" si="348">Q110</f>
        <v>1500</v>
      </c>
      <c r="S110" s="14">
        <f t="shared" ref="S110:S111" si="349">Q110</f>
        <v>1500</v>
      </c>
      <c r="T110" s="18">
        <f>ROUND(M110/11,-1)</f>
        <v>1230</v>
      </c>
      <c r="U110" s="14">
        <f t="shared" ref="U110:U111" si="350">T110</f>
        <v>1230</v>
      </c>
      <c r="V110" s="14">
        <f t="shared" ref="V110:V111" si="351">T110</f>
        <v>1230</v>
      </c>
      <c r="W110" s="18">
        <f>ROUND(M110/13,-1)</f>
        <v>1040</v>
      </c>
      <c r="X110" s="14">
        <f t="shared" ref="X110:X111" si="352">W110</f>
        <v>1040</v>
      </c>
      <c r="Y110" s="14">
        <f t="shared" ref="Y110:Y111" si="353">W110</f>
        <v>1040</v>
      </c>
      <c r="Z110" s="14">
        <f t="shared" ref="Z110:Z111" si="354">W110</f>
        <v>1040</v>
      </c>
      <c r="AA110" s="18">
        <f>ROUND(M110/15,-1)</f>
        <v>900</v>
      </c>
      <c r="AB110" s="14">
        <f t="shared" ref="AB110:AB111" si="355">AA110</f>
        <v>900</v>
      </c>
      <c r="AC110" s="14">
        <f t="shared" ref="AC110:AC111" si="356">AB110</f>
        <v>900</v>
      </c>
      <c r="AD110" s="14">
        <f t="shared" ref="AD110:AD111" si="357">AC110</f>
        <v>900</v>
      </c>
      <c r="AE110" s="14">
        <f t="shared" ref="AE110:AE111" si="358">AD110</f>
        <v>900</v>
      </c>
      <c r="AF110" s="14">
        <f t="shared" ref="AF110:AF111" si="359">AE110</f>
        <v>900</v>
      </c>
      <c r="AG110" s="14">
        <f t="shared" ref="AG110:AG111" si="360">AF110</f>
        <v>900</v>
      </c>
      <c r="AH110" s="14">
        <f t="shared" ref="AH110:AH111" si="361">AG110</f>
        <v>900</v>
      </c>
      <c r="AI110" s="14">
        <f t="shared" ref="AI110:AI111" si="362">AH110</f>
        <v>900</v>
      </c>
      <c r="AJ110" s="14">
        <f t="shared" ref="AJ110:AJ111" si="363">AI110</f>
        <v>900</v>
      </c>
      <c r="AK110" s="14">
        <f t="shared" ref="AK110:AK111" si="364">AJ110</f>
        <v>900</v>
      </c>
      <c r="AL110" s="14">
        <f t="shared" ref="AL110:AL111" si="365">AK110</f>
        <v>900</v>
      </c>
      <c r="AM110" s="14">
        <f t="shared" ref="AM110:AM111" si="366">AL110</f>
        <v>900</v>
      </c>
    </row>
    <row r="111" spans="1:39" x14ac:dyDescent="0.35">
      <c r="A111" s="161"/>
      <c r="B111" s="7"/>
      <c r="C111" s="179" t="s">
        <v>352</v>
      </c>
      <c r="D111" s="2"/>
      <c r="E111" s="2"/>
      <c r="F111" s="2"/>
      <c r="I111" s="155"/>
      <c r="J111" s="155"/>
      <c r="K111" s="155"/>
      <c r="L111" s="155"/>
      <c r="M111" s="155">
        <f t="shared" si="342"/>
        <v>8640</v>
      </c>
      <c r="N111" s="169">
        <v>7200</v>
      </c>
      <c r="O111" s="18">
        <f t="shared" si="347"/>
        <v>1440</v>
      </c>
      <c r="P111" s="14">
        <f t="shared" si="340"/>
        <v>1440</v>
      </c>
      <c r="Q111" s="18">
        <f t="shared" si="344"/>
        <v>960</v>
      </c>
      <c r="R111" s="14">
        <f t="shared" si="348"/>
        <v>960</v>
      </c>
      <c r="S111" s="14">
        <f t="shared" si="349"/>
        <v>960</v>
      </c>
      <c r="T111" s="18">
        <f>ROUND(M111/11,-1)</f>
        <v>790</v>
      </c>
      <c r="U111" s="14">
        <f t="shared" si="350"/>
        <v>790</v>
      </c>
      <c r="V111" s="14">
        <f t="shared" si="351"/>
        <v>790</v>
      </c>
      <c r="W111" s="18">
        <f>ROUND(M111/13,-1)</f>
        <v>660</v>
      </c>
      <c r="X111" s="14">
        <f t="shared" si="352"/>
        <v>660</v>
      </c>
      <c r="Y111" s="14">
        <f t="shared" si="353"/>
        <v>660</v>
      </c>
      <c r="Z111" s="14">
        <f t="shared" si="354"/>
        <v>660</v>
      </c>
      <c r="AA111" s="18">
        <f>ROUND(M111/15,-1)</f>
        <v>580</v>
      </c>
      <c r="AB111" s="14">
        <f t="shared" si="355"/>
        <v>580</v>
      </c>
      <c r="AC111" s="14">
        <f t="shared" si="356"/>
        <v>580</v>
      </c>
      <c r="AD111" s="14">
        <f t="shared" si="357"/>
        <v>580</v>
      </c>
      <c r="AE111" s="14">
        <f t="shared" si="358"/>
        <v>580</v>
      </c>
      <c r="AF111" s="14">
        <f t="shared" si="359"/>
        <v>580</v>
      </c>
      <c r="AG111" s="14">
        <f t="shared" si="360"/>
        <v>580</v>
      </c>
      <c r="AH111" s="14">
        <f t="shared" si="361"/>
        <v>580</v>
      </c>
      <c r="AI111" s="14">
        <f t="shared" si="362"/>
        <v>580</v>
      </c>
      <c r="AJ111" s="14">
        <f t="shared" si="363"/>
        <v>580</v>
      </c>
      <c r="AK111" s="14">
        <f t="shared" si="364"/>
        <v>580</v>
      </c>
      <c r="AL111" s="14">
        <f t="shared" si="365"/>
        <v>580</v>
      </c>
      <c r="AM111" s="14">
        <f t="shared" si="366"/>
        <v>580</v>
      </c>
    </row>
    <row r="112" spans="1:39" x14ac:dyDescent="0.35">
      <c r="B112" s="1"/>
      <c r="C112" s="164" t="s">
        <v>326</v>
      </c>
      <c r="D112" s="2" t="s">
        <v>13</v>
      </c>
      <c r="E112" s="31"/>
      <c r="F112" s="31" t="s">
        <v>169</v>
      </c>
      <c r="G112" s="32">
        <v>8900</v>
      </c>
      <c r="H112" s="6">
        <v>10000</v>
      </c>
      <c r="I112" s="32">
        <v>10000</v>
      </c>
      <c r="J112" s="32">
        <v>12500</v>
      </c>
      <c r="K112" s="155">
        <v>12500</v>
      </c>
      <c r="L112" s="155">
        <v>15000</v>
      </c>
      <c r="M112" s="155">
        <f t="shared" si="342"/>
        <v>13014</v>
      </c>
      <c r="N112" s="169">
        <v>10845</v>
      </c>
      <c r="O112" s="36">
        <f>ROUND(M112/6,-1)</f>
        <v>2170</v>
      </c>
      <c r="P112" s="37">
        <f t="shared" si="340"/>
        <v>2170</v>
      </c>
      <c r="Q112" s="36">
        <f t="shared" si="344"/>
        <v>1450</v>
      </c>
      <c r="R112" s="37">
        <f t="shared" ref="R112" si="367">Q112</f>
        <v>1450</v>
      </c>
      <c r="S112" s="37">
        <f t="shared" ref="S112" si="368">Q112</f>
        <v>1450</v>
      </c>
      <c r="T112" s="36">
        <f>ROUND(M112/11,-1)</f>
        <v>1180</v>
      </c>
      <c r="U112" s="37">
        <f t="shared" ref="U112" si="369">T112</f>
        <v>1180</v>
      </c>
      <c r="V112" s="37">
        <f t="shared" ref="V112" si="370">T112</f>
        <v>1180</v>
      </c>
      <c r="W112" s="36">
        <f>ROUND(M112/13,-1)</f>
        <v>1000</v>
      </c>
      <c r="X112" s="37">
        <f t="shared" ref="X112" si="371">W112</f>
        <v>1000</v>
      </c>
      <c r="Y112" s="37">
        <f t="shared" ref="Y112" si="372">W112</f>
        <v>1000</v>
      </c>
      <c r="Z112" s="37">
        <f t="shared" ref="Z112" si="373">W112</f>
        <v>1000</v>
      </c>
      <c r="AA112" s="36">
        <f>ROUND(M112/15,-1)</f>
        <v>870</v>
      </c>
      <c r="AB112" s="37">
        <f t="shared" ref="AB112" si="374">AA112</f>
        <v>870</v>
      </c>
      <c r="AC112" s="37">
        <f t="shared" ref="AC112" si="375">AB112</f>
        <v>870</v>
      </c>
      <c r="AD112" s="37">
        <f t="shared" ref="AD112" si="376">AC112</f>
        <v>870</v>
      </c>
      <c r="AE112" s="37">
        <f t="shared" ref="AE112" si="377">AD112</f>
        <v>870</v>
      </c>
      <c r="AF112" s="37">
        <f t="shared" ref="AF112" si="378">AE112</f>
        <v>870</v>
      </c>
      <c r="AG112" s="37">
        <f t="shared" ref="AG112" si="379">AF112</f>
        <v>870</v>
      </c>
      <c r="AH112" s="37">
        <f t="shared" ref="AH112" si="380">AG112</f>
        <v>870</v>
      </c>
      <c r="AI112" s="37">
        <f t="shared" ref="AI112" si="381">AH112</f>
        <v>870</v>
      </c>
      <c r="AJ112" s="37">
        <f t="shared" ref="AJ112" si="382">AI112</f>
        <v>870</v>
      </c>
      <c r="AK112" s="37">
        <f t="shared" ref="AK112" si="383">AJ112</f>
        <v>870</v>
      </c>
      <c r="AL112" s="37">
        <f t="shared" ref="AL112" si="384">AK112</f>
        <v>870</v>
      </c>
      <c r="AM112" s="37">
        <f t="shared" ref="AM112" si="385">AL112</f>
        <v>870</v>
      </c>
    </row>
    <row r="113" spans="1:39" x14ac:dyDescent="0.35">
      <c r="B113" s="1">
        <v>136</v>
      </c>
      <c r="C113" s="164" t="s">
        <v>143</v>
      </c>
      <c r="D113" s="2" t="s">
        <v>1</v>
      </c>
      <c r="E113" s="2" t="s">
        <v>144</v>
      </c>
      <c r="F113" s="2" t="s">
        <v>168</v>
      </c>
      <c r="L113" s="155">
        <v>130000</v>
      </c>
      <c r="M113" s="155">
        <f t="shared" si="342"/>
        <v>153600</v>
      </c>
      <c r="N113" s="169">
        <v>128000</v>
      </c>
      <c r="O113" s="36">
        <f>ROUND(M113/9,-1)</f>
        <v>17070</v>
      </c>
      <c r="P113" s="37">
        <f t="shared" si="340"/>
        <v>17070</v>
      </c>
      <c r="Q113" s="36">
        <f t="shared" si="344"/>
        <v>17070</v>
      </c>
      <c r="R113" s="37">
        <f t="shared" ref="R113" si="386">Q113</f>
        <v>17070</v>
      </c>
      <c r="S113" s="37">
        <f t="shared" ref="S113" si="387">Q113</f>
        <v>17070</v>
      </c>
      <c r="T113" s="36">
        <f>ROUND(M113/15,-1)</f>
        <v>10240</v>
      </c>
      <c r="U113" s="37">
        <f t="shared" ref="U113" si="388">T113</f>
        <v>10240</v>
      </c>
      <c r="V113" s="37">
        <f t="shared" ref="V113" si="389">T113</f>
        <v>10240</v>
      </c>
      <c r="W113" s="36">
        <f>ROUND(M113/16,-1)</f>
        <v>9600</v>
      </c>
      <c r="X113" s="37">
        <f t="shared" ref="X113" si="390">W113</f>
        <v>9600</v>
      </c>
      <c r="Y113" s="37">
        <f t="shared" ref="Y113" si="391">W113</f>
        <v>9600</v>
      </c>
      <c r="Z113" s="37">
        <f t="shared" ref="Z113" si="392">W113</f>
        <v>9600</v>
      </c>
      <c r="AA113" s="36">
        <f>ROUND(M113/18,-1)</f>
        <v>8530</v>
      </c>
      <c r="AB113" s="37">
        <f t="shared" ref="AB113" si="393">AA113</f>
        <v>8530</v>
      </c>
      <c r="AC113" s="37">
        <f t="shared" ref="AC113" si="394">AB113</f>
        <v>8530</v>
      </c>
      <c r="AD113" s="37">
        <f t="shared" ref="AD113" si="395">AC113</f>
        <v>8530</v>
      </c>
      <c r="AE113" s="37">
        <f t="shared" ref="AE113" si="396">AD113</f>
        <v>8530</v>
      </c>
      <c r="AF113" s="37">
        <f t="shared" ref="AF113" si="397">AE113</f>
        <v>8530</v>
      </c>
      <c r="AG113" s="37">
        <f t="shared" ref="AG113" si="398">AF113</f>
        <v>8530</v>
      </c>
      <c r="AH113" s="37">
        <f t="shared" ref="AH113" si="399">AG113</f>
        <v>8530</v>
      </c>
      <c r="AI113" s="37">
        <f t="shared" ref="AI113" si="400">AH113</f>
        <v>8530</v>
      </c>
      <c r="AJ113" s="37">
        <f t="shared" ref="AJ113" si="401">AI113</f>
        <v>8530</v>
      </c>
      <c r="AK113" s="37">
        <f t="shared" ref="AK113" si="402">AJ113</f>
        <v>8530</v>
      </c>
      <c r="AL113" s="37">
        <f t="shared" ref="AL113" si="403">AK113</f>
        <v>8530</v>
      </c>
      <c r="AM113" s="37">
        <f t="shared" ref="AM113" si="404">AL113</f>
        <v>8530</v>
      </c>
    </row>
    <row r="114" spans="1:39" x14ac:dyDescent="0.35">
      <c r="A114" t="s">
        <v>178</v>
      </c>
      <c r="B114" s="1">
        <v>104</v>
      </c>
      <c r="C114" s="2" t="s">
        <v>145</v>
      </c>
      <c r="D114" s="4" t="s">
        <v>166</v>
      </c>
      <c r="E114" s="2"/>
      <c r="F114" s="2" t="s">
        <v>168</v>
      </c>
      <c r="L114" s="5"/>
      <c r="M114" s="5"/>
      <c r="N114" s="170"/>
      <c r="O114" s="16"/>
      <c r="P114" s="14"/>
      <c r="Q114" s="16"/>
      <c r="R114" s="14"/>
      <c r="S114" s="14"/>
      <c r="T114" s="16"/>
      <c r="U114" s="14"/>
      <c r="V114" s="14"/>
      <c r="W114" s="16"/>
      <c r="X114" s="14"/>
      <c r="Y114" s="14"/>
      <c r="Z114" s="14"/>
      <c r="AA114" s="16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</row>
    <row r="115" spans="1:39" x14ac:dyDescent="0.35">
      <c r="A115" t="s">
        <v>178</v>
      </c>
      <c r="B115" s="1">
        <v>154</v>
      </c>
      <c r="C115" s="2" t="s">
        <v>146</v>
      </c>
      <c r="D115" s="4" t="s">
        <v>166</v>
      </c>
      <c r="E115" s="2"/>
      <c r="F115" s="2" t="s">
        <v>171</v>
      </c>
      <c r="L115" s="5"/>
      <c r="M115" s="5"/>
      <c r="N115" s="170"/>
      <c r="O115" s="16"/>
      <c r="P115" s="14"/>
      <c r="Q115" s="16"/>
      <c r="R115" s="14"/>
      <c r="S115" s="14"/>
      <c r="T115" s="16"/>
      <c r="U115" s="14"/>
      <c r="V115" s="14"/>
      <c r="W115" s="16"/>
      <c r="X115" s="14"/>
      <c r="Y115" s="14"/>
      <c r="Z115" s="14"/>
      <c r="AA115" s="16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</row>
    <row r="116" spans="1:39" hidden="1" x14ac:dyDescent="0.35">
      <c r="B116" s="1">
        <v>67</v>
      </c>
      <c r="C116" s="2" t="s">
        <v>147</v>
      </c>
      <c r="D116" s="2" t="s">
        <v>148</v>
      </c>
      <c r="E116" s="2"/>
      <c r="F116" s="2" t="s">
        <v>168</v>
      </c>
      <c r="G116" s="6">
        <v>60000</v>
      </c>
      <c r="H116" s="6">
        <v>170000</v>
      </c>
      <c r="I116" s="6">
        <v>60000</v>
      </c>
      <c r="J116" s="6">
        <v>60000</v>
      </c>
      <c r="K116" s="6">
        <v>60000</v>
      </c>
      <c r="L116" s="5"/>
      <c r="M116" s="5"/>
      <c r="N116" s="170"/>
      <c r="O116" s="17">
        <v>6400</v>
      </c>
      <c r="P116" s="14">
        <f t="shared" ref="P116:P122" si="405">O116</f>
        <v>6400</v>
      </c>
      <c r="Q116" s="17">
        <v>5400</v>
      </c>
      <c r="R116" s="14">
        <f t="shared" ref="R116:R119" si="406">Q116</f>
        <v>5400</v>
      </c>
      <c r="S116" s="14">
        <f t="shared" ref="S116:S119" si="407">Q116</f>
        <v>5400</v>
      </c>
      <c r="T116" s="17">
        <v>4400</v>
      </c>
      <c r="U116" s="14">
        <f t="shared" ref="U116:U119" si="408">T116</f>
        <v>4400</v>
      </c>
      <c r="V116" s="14">
        <f t="shared" ref="V116:V119" si="409">T116</f>
        <v>4400</v>
      </c>
      <c r="W116" s="17">
        <v>3900</v>
      </c>
      <c r="X116" s="14">
        <f t="shared" ref="X116:X119" si="410">W116</f>
        <v>3900</v>
      </c>
      <c r="Y116" s="14">
        <f t="shared" ref="Y116:Y119" si="411">W116</f>
        <v>3900</v>
      </c>
      <c r="Z116" s="14">
        <f t="shared" ref="Z116:Z119" si="412">W116</f>
        <v>3900</v>
      </c>
      <c r="AA116" s="17">
        <v>3500</v>
      </c>
      <c r="AB116" s="14">
        <f t="shared" ref="AB116:AB119" si="413">AA116</f>
        <v>3500</v>
      </c>
      <c r="AC116" s="14">
        <f t="shared" ref="AC116:AC119" si="414">AB116</f>
        <v>3500</v>
      </c>
      <c r="AD116" s="14">
        <f t="shared" ref="AD116:AD119" si="415">AC116</f>
        <v>3500</v>
      </c>
      <c r="AE116" s="14">
        <f t="shared" ref="AE116:AE119" si="416">AD116</f>
        <v>3500</v>
      </c>
      <c r="AF116" s="14">
        <f t="shared" ref="AF116:AF119" si="417">AE116</f>
        <v>3500</v>
      </c>
      <c r="AG116" s="14">
        <f t="shared" ref="AG116:AG119" si="418">AF116</f>
        <v>3500</v>
      </c>
      <c r="AH116" s="14">
        <f t="shared" ref="AH116:AH119" si="419">AG116</f>
        <v>3500</v>
      </c>
      <c r="AI116" s="14">
        <f t="shared" ref="AI116:AI119" si="420">AH116</f>
        <v>3500</v>
      </c>
      <c r="AJ116" s="14">
        <f t="shared" ref="AJ116:AJ119" si="421">AI116</f>
        <v>3500</v>
      </c>
      <c r="AK116" s="14">
        <f t="shared" ref="AK116:AK119" si="422">AJ116</f>
        <v>3500</v>
      </c>
      <c r="AL116" s="14">
        <f t="shared" ref="AL116:AL119" si="423">AK116</f>
        <v>3500</v>
      </c>
      <c r="AM116" s="14">
        <f t="shared" ref="AM116:AM119" si="424">AL116</f>
        <v>3500</v>
      </c>
    </row>
    <row r="117" spans="1:39" hidden="1" x14ac:dyDescent="0.35">
      <c r="B117" s="1">
        <v>182</v>
      </c>
      <c r="C117" s="2" t="s">
        <v>149</v>
      </c>
      <c r="D117" s="2" t="s">
        <v>148</v>
      </c>
      <c r="E117" s="2"/>
      <c r="F117" s="2" t="s">
        <v>168</v>
      </c>
      <c r="G117" s="6">
        <v>60000</v>
      </c>
      <c r="H117" s="6">
        <v>170000</v>
      </c>
      <c r="I117" s="6">
        <v>60000</v>
      </c>
      <c r="J117" s="6">
        <v>60000</v>
      </c>
      <c r="K117" s="6">
        <v>60000</v>
      </c>
      <c r="L117" s="5"/>
      <c r="M117" s="5"/>
      <c r="N117" s="170"/>
      <c r="O117" s="17">
        <v>6400</v>
      </c>
      <c r="P117" s="14">
        <f t="shared" si="405"/>
        <v>6400</v>
      </c>
      <c r="Q117" s="17">
        <v>5400</v>
      </c>
      <c r="R117" s="14">
        <f t="shared" si="406"/>
        <v>5400</v>
      </c>
      <c r="S117" s="14">
        <f t="shared" si="407"/>
        <v>5400</v>
      </c>
      <c r="T117" s="17">
        <v>4400</v>
      </c>
      <c r="U117" s="14">
        <f t="shared" si="408"/>
        <v>4400</v>
      </c>
      <c r="V117" s="14">
        <f t="shared" si="409"/>
        <v>4400</v>
      </c>
      <c r="W117" s="17">
        <v>3900</v>
      </c>
      <c r="X117" s="14">
        <f t="shared" si="410"/>
        <v>3900</v>
      </c>
      <c r="Y117" s="14">
        <f t="shared" si="411"/>
        <v>3900</v>
      </c>
      <c r="Z117" s="14">
        <f t="shared" si="412"/>
        <v>3900</v>
      </c>
      <c r="AA117" s="17">
        <v>3500</v>
      </c>
      <c r="AB117" s="14">
        <f t="shared" si="413"/>
        <v>3500</v>
      </c>
      <c r="AC117" s="14">
        <f t="shared" si="414"/>
        <v>3500</v>
      </c>
      <c r="AD117" s="14">
        <f t="shared" si="415"/>
        <v>3500</v>
      </c>
      <c r="AE117" s="14">
        <f t="shared" si="416"/>
        <v>3500</v>
      </c>
      <c r="AF117" s="14">
        <f t="shared" si="417"/>
        <v>3500</v>
      </c>
      <c r="AG117" s="14">
        <f t="shared" si="418"/>
        <v>3500</v>
      </c>
      <c r="AH117" s="14">
        <f t="shared" si="419"/>
        <v>3500</v>
      </c>
      <c r="AI117" s="14">
        <f t="shared" si="420"/>
        <v>3500</v>
      </c>
      <c r="AJ117" s="14">
        <f t="shared" si="421"/>
        <v>3500</v>
      </c>
      <c r="AK117" s="14">
        <f t="shared" si="422"/>
        <v>3500</v>
      </c>
      <c r="AL117" s="14">
        <f t="shared" si="423"/>
        <v>3500</v>
      </c>
      <c r="AM117" s="14">
        <f t="shared" si="424"/>
        <v>3500</v>
      </c>
    </row>
    <row r="118" spans="1:39" hidden="1" x14ac:dyDescent="0.35">
      <c r="B118" s="1">
        <v>68</v>
      </c>
      <c r="C118" s="2" t="s">
        <v>150</v>
      </c>
      <c r="D118" s="2" t="s">
        <v>148</v>
      </c>
      <c r="E118" s="2"/>
      <c r="F118" s="2" t="s">
        <v>168</v>
      </c>
      <c r="G118" s="6">
        <v>60000</v>
      </c>
      <c r="H118" s="6">
        <v>170000</v>
      </c>
      <c r="I118" s="6">
        <v>60000</v>
      </c>
      <c r="J118" s="6">
        <v>60000</v>
      </c>
      <c r="K118" s="6">
        <v>60000</v>
      </c>
      <c r="L118" s="5"/>
      <c r="M118" s="5"/>
      <c r="N118" s="170"/>
      <c r="O118" s="17">
        <v>6400</v>
      </c>
      <c r="P118" s="14">
        <f t="shared" si="405"/>
        <v>6400</v>
      </c>
      <c r="Q118" s="17">
        <v>5400</v>
      </c>
      <c r="R118" s="14">
        <f t="shared" si="406"/>
        <v>5400</v>
      </c>
      <c r="S118" s="14">
        <f t="shared" si="407"/>
        <v>5400</v>
      </c>
      <c r="T118" s="17">
        <v>4400</v>
      </c>
      <c r="U118" s="14">
        <f t="shared" si="408"/>
        <v>4400</v>
      </c>
      <c r="V118" s="14">
        <f t="shared" si="409"/>
        <v>4400</v>
      </c>
      <c r="W118" s="17">
        <v>3900</v>
      </c>
      <c r="X118" s="14">
        <f t="shared" si="410"/>
        <v>3900</v>
      </c>
      <c r="Y118" s="14">
        <f t="shared" si="411"/>
        <v>3900</v>
      </c>
      <c r="Z118" s="14">
        <f t="shared" si="412"/>
        <v>3900</v>
      </c>
      <c r="AA118" s="17">
        <v>3500</v>
      </c>
      <c r="AB118" s="14">
        <f t="shared" si="413"/>
        <v>3500</v>
      </c>
      <c r="AC118" s="14">
        <f t="shared" si="414"/>
        <v>3500</v>
      </c>
      <c r="AD118" s="14">
        <f t="shared" si="415"/>
        <v>3500</v>
      </c>
      <c r="AE118" s="14">
        <f t="shared" si="416"/>
        <v>3500</v>
      </c>
      <c r="AF118" s="14">
        <f t="shared" si="417"/>
        <v>3500</v>
      </c>
      <c r="AG118" s="14">
        <f t="shared" si="418"/>
        <v>3500</v>
      </c>
      <c r="AH118" s="14">
        <f t="shared" si="419"/>
        <v>3500</v>
      </c>
      <c r="AI118" s="14">
        <f t="shared" si="420"/>
        <v>3500</v>
      </c>
      <c r="AJ118" s="14">
        <f t="shared" si="421"/>
        <v>3500</v>
      </c>
      <c r="AK118" s="14">
        <f t="shared" si="422"/>
        <v>3500</v>
      </c>
      <c r="AL118" s="14">
        <f t="shared" si="423"/>
        <v>3500</v>
      </c>
      <c r="AM118" s="14">
        <f t="shared" si="424"/>
        <v>3500</v>
      </c>
    </row>
    <row r="119" spans="1:39" x14ac:dyDescent="0.35">
      <c r="B119" s="1">
        <v>105</v>
      </c>
      <c r="C119" s="164" t="s">
        <v>151</v>
      </c>
      <c r="D119" s="2" t="s">
        <v>1</v>
      </c>
      <c r="E119" s="2" t="s">
        <v>152</v>
      </c>
      <c r="F119" s="2" t="s">
        <v>168</v>
      </c>
      <c r="G119" s="6">
        <v>16000</v>
      </c>
      <c r="H119" s="6">
        <v>22500</v>
      </c>
      <c r="I119" s="6">
        <v>16000</v>
      </c>
      <c r="J119" s="6">
        <v>16000</v>
      </c>
      <c r="K119" s="6">
        <v>16000</v>
      </c>
      <c r="L119" s="5"/>
      <c r="M119" s="155">
        <f>N119*1.2</f>
        <v>46680</v>
      </c>
      <c r="N119" s="169">
        <v>38900</v>
      </c>
      <c r="O119" s="17">
        <f>ROUND(M119/9,-1)</f>
        <v>5190</v>
      </c>
      <c r="P119" s="14">
        <f t="shared" si="405"/>
        <v>5190</v>
      </c>
      <c r="Q119" s="17">
        <f>ROUND(M119/13,-1)</f>
        <v>3590</v>
      </c>
      <c r="R119" s="14">
        <f t="shared" si="406"/>
        <v>3590</v>
      </c>
      <c r="S119" s="14">
        <f t="shared" si="407"/>
        <v>3590</v>
      </c>
      <c r="T119" s="17">
        <f>ROUND(M119/16,-1)</f>
        <v>2920</v>
      </c>
      <c r="U119" s="14">
        <f t="shared" si="408"/>
        <v>2920</v>
      </c>
      <c r="V119" s="14">
        <f t="shared" si="409"/>
        <v>2920</v>
      </c>
      <c r="W119" s="17">
        <f>ROUND(M119/20,-1)</f>
        <v>2330</v>
      </c>
      <c r="X119" s="14">
        <f t="shared" si="410"/>
        <v>2330</v>
      </c>
      <c r="Y119" s="14">
        <f t="shared" si="411"/>
        <v>2330</v>
      </c>
      <c r="Z119" s="14">
        <f t="shared" si="412"/>
        <v>2330</v>
      </c>
      <c r="AA119" s="17">
        <f>ROUND(M119/24,-1)</f>
        <v>1950</v>
      </c>
      <c r="AB119" s="14">
        <f t="shared" si="413"/>
        <v>1950</v>
      </c>
      <c r="AC119" s="14">
        <f t="shared" si="414"/>
        <v>1950</v>
      </c>
      <c r="AD119" s="14">
        <f t="shared" si="415"/>
        <v>1950</v>
      </c>
      <c r="AE119" s="14">
        <f t="shared" si="416"/>
        <v>1950</v>
      </c>
      <c r="AF119" s="14">
        <f t="shared" si="417"/>
        <v>1950</v>
      </c>
      <c r="AG119" s="14">
        <f t="shared" si="418"/>
        <v>1950</v>
      </c>
      <c r="AH119" s="14">
        <f t="shared" si="419"/>
        <v>1950</v>
      </c>
      <c r="AI119" s="14">
        <f t="shared" si="420"/>
        <v>1950</v>
      </c>
      <c r="AJ119" s="14">
        <f t="shared" si="421"/>
        <v>1950</v>
      </c>
      <c r="AK119" s="14">
        <f t="shared" si="422"/>
        <v>1950</v>
      </c>
      <c r="AL119" s="14">
        <f t="shared" si="423"/>
        <v>1950</v>
      </c>
      <c r="AM119" s="14">
        <f t="shared" si="424"/>
        <v>1950</v>
      </c>
    </row>
    <row r="120" spans="1:39" x14ac:dyDescent="0.35">
      <c r="B120" s="1">
        <v>11</v>
      </c>
      <c r="C120" s="164" t="s">
        <v>153</v>
      </c>
      <c r="D120" s="2" t="s">
        <v>13</v>
      </c>
      <c r="E120" s="2" t="s">
        <v>154</v>
      </c>
      <c r="F120" s="2" t="s">
        <v>169</v>
      </c>
      <c r="G120" s="6">
        <v>13000</v>
      </c>
      <c r="H120" s="6">
        <v>10000</v>
      </c>
      <c r="I120" s="6">
        <v>13000</v>
      </c>
      <c r="J120" s="6">
        <v>16250</v>
      </c>
      <c r="K120" s="155">
        <v>16250</v>
      </c>
      <c r="L120" s="155">
        <v>38000</v>
      </c>
      <c r="M120" s="155">
        <v>38000</v>
      </c>
      <c r="N120" s="169">
        <v>24906</v>
      </c>
      <c r="O120" s="18">
        <f>ROUND(M120/6,-1)</f>
        <v>6330</v>
      </c>
      <c r="P120" s="14">
        <f t="shared" si="405"/>
        <v>6330</v>
      </c>
      <c r="Q120" s="18">
        <f>ROUND(M120/9,-1)</f>
        <v>4220</v>
      </c>
      <c r="R120" s="14">
        <f t="shared" ref="R120:R122" si="425">Q120</f>
        <v>4220</v>
      </c>
      <c r="S120" s="14">
        <f t="shared" ref="S120:S122" si="426">Q120</f>
        <v>4220</v>
      </c>
      <c r="T120" s="18">
        <f>ROUND(M120/11,-1)</f>
        <v>3450</v>
      </c>
      <c r="U120" s="14">
        <f t="shared" ref="U120:U122" si="427">T120</f>
        <v>3450</v>
      </c>
      <c r="V120" s="14">
        <f t="shared" ref="V120:V122" si="428">T120</f>
        <v>3450</v>
      </c>
      <c r="W120" s="18">
        <f>ROUND(M120/13,-1)</f>
        <v>2920</v>
      </c>
      <c r="X120" s="14">
        <f t="shared" ref="X120:X122" si="429">W120</f>
        <v>2920</v>
      </c>
      <c r="Y120" s="14">
        <f t="shared" ref="Y120:Y122" si="430">W120</f>
        <v>2920</v>
      </c>
      <c r="Z120" s="14">
        <f t="shared" ref="Z120:Z122" si="431">W120</f>
        <v>2920</v>
      </c>
      <c r="AA120" s="18">
        <f>ROUND(M120/15,-1)</f>
        <v>2530</v>
      </c>
      <c r="AB120" s="14">
        <f t="shared" ref="AB120:AM120" si="432">AA120</f>
        <v>2530</v>
      </c>
      <c r="AC120" s="14">
        <f t="shared" si="432"/>
        <v>2530</v>
      </c>
      <c r="AD120" s="14">
        <f t="shared" si="432"/>
        <v>2530</v>
      </c>
      <c r="AE120" s="14">
        <f t="shared" si="432"/>
        <v>2530</v>
      </c>
      <c r="AF120" s="14">
        <f t="shared" si="432"/>
        <v>2530</v>
      </c>
      <c r="AG120" s="14">
        <f t="shared" si="432"/>
        <v>2530</v>
      </c>
      <c r="AH120" s="14">
        <f t="shared" si="432"/>
        <v>2530</v>
      </c>
      <c r="AI120" s="14">
        <f t="shared" si="432"/>
        <v>2530</v>
      </c>
      <c r="AJ120" s="14">
        <f t="shared" si="432"/>
        <v>2530</v>
      </c>
      <c r="AK120" s="14">
        <f t="shared" si="432"/>
        <v>2530</v>
      </c>
      <c r="AL120" s="14">
        <f t="shared" si="432"/>
        <v>2530</v>
      </c>
      <c r="AM120" s="14">
        <f t="shared" si="432"/>
        <v>2530</v>
      </c>
    </row>
    <row r="121" spans="1:39" x14ac:dyDescent="0.35">
      <c r="B121" s="1">
        <v>155</v>
      </c>
      <c r="C121" s="164" t="s">
        <v>348</v>
      </c>
      <c r="D121" s="2" t="s">
        <v>13</v>
      </c>
      <c r="E121" s="2" t="s">
        <v>159</v>
      </c>
      <c r="F121" s="2" t="s">
        <v>169</v>
      </c>
      <c r="G121" s="6">
        <v>21000</v>
      </c>
      <c r="H121" s="6">
        <v>21000</v>
      </c>
      <c r="I121" s="6">
        <v>21000</v>
      </c>
      <c r="J121" s="6">
        <v>26250</v>
      </c>
      <c r="K121" s="155">
        <v>26250</v>
      </c>
      <c r="L121" s="5"/>
      <c r="M121" s="169">
        <v>48672</v>
      </c>
      <c r="N121" s="169">
        <v>40560</v>
      </c>
      <c r="O121" s="18">
        <f>ROUND(M121/6,-1)</f>
        <v>8110</v>
      </c>
      <c r="P121" s="14">
        <f t="shared" si="405"/>
        <v>8110</v>
      </c>
      <c r="Q121" s="18">
        <f>ROUND(M121/9,-1)</f>
        <v>5410</v>
      </c>
      <c r="R121" s="14">
        <f t="shared" si="425"/>
        <v>5410</v>
      </c>
      <c r="S121" s="14">
        <f t="shared" si="426"/>
        <v>5410</v>
      </c>
      <c r="T121" s="18">
        <f>ROUND(M121/11,-1)</f>
        <v>4420</v>
      </c>
      <c r="U121" s="14">
        <f t="shared" si="427"/>
        <v>4420</v>
      </c>
      <c r="V121" s="14">
        <f t="shared" si="428"/>
        <v>4420</v>
      </c>
      <c r="W121" s="18">
        <f>ROUND(M121/13,-1)</f>
        <v>3740</v>
      </c>
      <c r="X121" s="14">
        <f t="shared" si="429"/>
        <v>3740</v>
      </c>
      <c r="Y121" s="14">
        <f t="shared" si="430"/>
        <v>3740</v>
      </c>
      <c r="Z121" s="14">
        <f t="shared" si="431"/>
        <v>3740</v>
      </c>
      <c r="AA121" s="18">
        <f>ROUND(M121/15,-1)</f>
        <v>3240</v>
      </c>
      <c r="AB121" s="14">
        <f t="shared" ref="AB121:AM122" si="433">AA121</f>
        <v>3240</v>
      </c>
      <c r="AC121" s="14">
        <f t="shared" si="433"/>
        <v>3240</v>
      </c>
      <c r="AD121" s="14">
        <f t="shared" si="433"/>
        <v>3240</v>
      </c>
      <c r="AE121" s="14">
        <f t="shared" si="433"/>
        <v>3240</v>
      </c>
      <c r="AF121" s="14">
        <f t="shared" si="433"/>
        <v>3240</v>
      </c>
      <c r="AG121" s="14">
        <f t="shared" si="433"/>
        <v>3240</v>
      </c>
      <c r="AH121" s="14">
        <f t="shared" si="433"/>
        <v>3240</v>
      </c>
      <c r="AI121" s="14">
        <f t="shared" si="433"/>
        <v>3240</v>
      </c>
      <c r="AJ121" s="14">
        <f t="shared" si="433"/>
        <v>3240</v>
      </c>
      <c r="AK121" s="14">
        <f t="shared" si="433"/>
        <v>3240</v>
      </c>
      <c r="AL121" s="14">
        <f t="shared" si="433"/>
        <v>3240</v>
      </c>
      <c r="AM121" s="14">
        <f t="shared" si="433"/>
        <v>3240</v>
      </c>
    </row>
    <row r="122" spans="1:39" x14ac:dyDescent="0.35">
      <c r="B122" s="1">
        <v>135</v>
      </c>
      <c r="C122" s="2" t="s">
        <v>160</v>
      </c>
      <c r="D122" s="2" t="s">
        <v>1</v>
      </c>
      <c r="E122" s="2" t="s">
        <v>161</v>
      </c>
      <c r="F122" s="2" t="s">
        <v>168</v>
      </c>
      <c r="G122" s="6">
        <v>80000</v>
      </c>
      <c r="H122" s="6">
        <v>80000</v>
      </c>
      <c r="I122" s="6">
        <v>80000</v>
      </c>
      <c r="J122" s="6">
        <v>80000</v>
      </c>
      <c r="K122" s="6">
        <v>80000</v>
      </c>
      <c r="L122" s="5"/>
      <c r="M122" s="5"/>
      <c r="N122" s="170"/>
      <c r="O122" s="17">
        <f>ROUND(M122/9,-1)</f>
        <v>0</v>
      </c>
      <c r="P122" s="14">
        <f t="shared" si="405"/>
        <v>0</v>
      </c>
      <c r="Q122" s="17">
        <f>ROUND(M122/13,-1)</f>
        <v>0</v>
      </c>
      <c r="R122" s="14">
        <f t="shared" si="425"/>
        <v>0</v>
      </c>
      <c r="S122" s="14">
        <f t="shared" si="426"/>
        <v>0</v>
      </c>
      <c r="T122" s="17">
        <f>ROUND(M122/16,-1)</f>
        <v>0</v>
      </c>
      <c r="U122" s="14">
        <f t="shared" si="427"/>
        <v>0</v>
      </c>
      <c r="V122" s="14">
        <f t="shared" si="428"/>
        <v>0</v>
      </c>
      <c r="W122" s="17">
        <f>ROUND(M122/20,-1)</f>
        <v>0</v>
      </c>
      <c r="X122" s="14">
        <f t="shared" si="429"/>
        <v>0</v>
      </c>
      <c r="Y122" s="14">
        <f t="shared" si="430"/>
        <v>0</v>
      </c>
      <c r="Z122" s="14">
        <f t="shared" si="431"/>
        <v>0</v>
      </c>
      <c r="AA122" s="17">
        <f>ROUND(M122/24,-1)</f>
        <v>0</v>
      </c>
      <c r="AB122" s="14">
        <f t="shared" si="433"/>
        <v>0</v>
      </c>
      <c r="AC122" s="14">
        <f t="shared" si="433"/>
        <v>0</v>
      </c>
      <c r="AD122" s="14">
        <f t="shared" si="433"/>
        <v>0</v>
      </c>
      <c r="AE122" s="14">
        <f t="shared" si="433"/>
        <v>0</v>
      </c>
      <c r="AF122" s="14">
        <f t="shared" si="433"/>
        <v>0</v>
      </c>
      <c r="AG122" s="14">
        <f t="shared" si="433"/>
        <v>0</v>
      </c>
      <c r="AH122" s="14">
        <f t="shared" si="433"/>
        <v>0</v>
      </c>
      <c r="AI122" s="14">
        <f t="shared" si="433"/>
        <v>0</v>
      </c>
      <c r="AJ122" s="14">
        <f t="shared" si="433"/>
        <v>0</v>
      </c>
      <c r="AK122" s="14">
        <f t="shared" si="433"/>
        <v>0</v>
      </c>
      <c r="AL122" s="14">
        <f t="shared" si="433"/>
        <v>0</v>
      </c>
      <c r="AM122" s="14">
        <f t="shared" si="433"/>
        <v>0</v>
      </c>
    </row>
    <row r="123" spans="1:39" x14ac:dyDescent="0.35">
      <c r="A123" t="s">
        <v>178</v>
      </c>
      <c r="B123" s="1">
        <v>141</v>
      </c>
      <c r="C123" s="2" t="s">
        <v>162</v>
      </c>
      <c r="D123" s="2" t="s">
        <v>1</v>
      </c>
      <c r="E123" s="2" t="s">
        <v>163</v>
      </c>
      <c r="F123" s="2" t="s">
        <v>168</v>
      </c>
      <c r="L123" s="5"/>
      <c r="M123" s="5"/>
      <c r="N123" s="170"/>
      <c r="O123" s="16"/>
      <c r="P123" s="14"/>
      <c r="Q123" s="16"/>
      <c r="R123" s="14"/>
      <c r="S123" s="14"/>
      <c r="T123" s="16"/>
      <c r="U123" s="14"/>
      <c r="V123" s="14"/>
      <c r="W123" s="16"/>
      <c r="X123" s="14"/>
      <c r="Y123" s="14"/>
      <c r="Z123" s="14"/>
      <c r="AA123" s="16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</row>
    <row r="124" spans="1:39" x14ac:dyDescent="0.35">
      <c r="B124" s="1">
        <v>128</v>
      </c>
      <c r="C124" s="2" t="s">
        <v>164</v>
      </c>
      <c r="D124" s="2" t="s">
        <v>1</v>
      </c>
      <c r="E124" s="2"/>
      <c r="F124" s="2" t="s">
        <v>168</v>
      </c>
      <c r="G124" s="6">
        <v>13300</v>
      </c>
      <c r="H124" s="6">
        <v>13300</v>
      </c>
      <c r="I124" s="6">
        <v>13300</v>
      </c>
      <c r="J124" s="6">
        <v>13300</v>
      </c>
      <c r="K124" s="6">
        <v>13300</v>
      </c>
      <c r="L124" s="5"/>
      <c r="M124" s="5"/>
      <c r="N124" s="170"/>
      <c r="O124" s="17">
        <f>ROUND(M124/9,-1)</f>
        <v>0</v>
      </c>
      <c r="P124" s="14">
        <f>O124</f>
        <v>0</v>
      </c>
      <c r="Q124" s="17">
        <f>ROUND(M124/13,-1)</f>
        <v>0</v>
      </c>
      <c r="R124" s="14">
        <f t="shared" ref="R124" si="434">Q124</f>
        <v>0</v>
      </c>
      <c r="S124" s="14">
        <f t="shared" ref="S124" si="435">Q124</f>
        <v>0</v>
      </c>
      <c r="T124" s="17">
        <f>ROUND(M124/16,-1)</f>
        <v>0</v>
      </c>
      <c r="U124" s="14">
        <f t="shared" ref="U124" si="436">T124</f>
        <v>0</v>
      </c>
      <c r="V124" s="14">
        <f t="shared" ref="V124" si="437">T124</f>
        <v>0</v>
      </c>
      <c r="W124" s="17">
        <f>ROUND(M124/20,-1)</f>
        <v>0</v>
      </c>
      <c r="X124" s="14">
        <f t="shared" ref="X124" si="438">W124</f>
        <v>0</v>
      </c>
      <c r="Y124" s="14">
        <f t="shared" ref="Y124" si="439">W124</f>
        <v>0</v>
      </c>
      <c r="Z124" s="14">
        <f t="shared" ref="Z124" si="440">W124</f>
        <v>0</v>
      </c>
      <c r="AA124" s="17">
        <f>ROUND(M124/24,-1)</f>
        <v>0</v>
      </c>
      <c r="AB124" s="14">
        <f t="shared" ref="AB124" si="441">AA124</f>
        <v>0</v>
      </c>
      <c r="AC124" s="14">
        <f t="shared" ref="AC124" si="442">AB124</f>
        <v>0</v>
      </c>
      <c r="AD124" s="14">
        <f t="shared" ref="AD124" si="443">AC124</f>
        <v>0</v>
      </c>
      <c r="AE124" s="14">
        <f t="shared" ref="AE124" si="444">AD124</f>
        <v>0</v>
      </c>
      <c r="AF124" s="14">
        <f t="shared" ref="AF124" si="445">AE124</f>
        <v>0</v>
      </c>
      <c r="AG124" s="14">
        <f t="shared" ref="AG124" si="446">AF124</f>
        <v>0</v>
      </c>
      <c r="AH124" s="14">
        <f t="shared" ref="AH124" si="447">AG124</f>
        <v>0</v>
      </c>
      <c r="AI124" s="14">
        <f t="shared" ref="AI124" si="448">AH124</f>
        <v>0</v>
      </c>
      <c r="AJ124" s="14">
        <f t="shared" ref="AJ124" si="449">AI124</f>
        <v>0</v>
      </c>
      <c r="AK124" s="14">
        <f t="shared" ref="AK124" si="450">AJ124</f>
        <v>0</v>
      </c>
      <c r="AL124" s="14">
        <f t="shared" ref="AL124" si="451">AK124</f>
        <v>0</v>
      </c>
      <c r="AM124" s="14">
        <f t="shared" ref="AM124" si="452">AL124</f>
        <v>0</v>
      </c>
    </row>
    <row r="125" spans="1:39" x14ac:dyDescent="0.35">
      <c r="A125" t="s">
        <v>178</v>
      </c>
      <c r="B125" s="1">
        <v>97</v>
      </c>
      <c r="C125" s="164" t="s">
        <v>165</v>
      </c>
      <c r="D125" s="2" t="s">
        <v>1</v>
      </c>
      <c r="E125" s="2"/>
      <c r="F125" s="2" t="s">
        <v>168</v>
      </c>
      <c r="L125" s="155"/>
      <c r="M125" s="155">
        <v>210000</v>
      </c>
      <c r="N125" s="169" t="s">
        <v>346</v>
      </c>
      <c r="O125" s="16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spans="1:39" x14ac:dyDescent="0.35">
      <c r="B126" s="3"/>
      <c r="C126" s="164" t="s">
        <v>181</v>
      </c>
      <c r="D126" s="2" t="s">
        <v>1</v>
      </c>
      <c r="E126" s="3"/>
      <c r="F126" s="2" t="s">
        <v>168</v>
      </c>
      <c r="G126" s="6">
        <v>20000</v>
      </c>
      <c r="H126" s="6">
        <v>20000</v>
      </c>
      <c r="I126" s="6">
        <v>20000</v>
      </c>
      <c r="J126" s="6">
        <v>20000</v>
      </c>
      <c r="K126" s="6">
        <v>20000</v>
      </c>
      <c r="L126" s="5"/>
      <c r="M126" s="155">
        <f>N126*1.2</f>
        <v>58704</v>
      </c>
      <c r="N126" s="169">
        <v>48920</v>
      </c>
      <c r="O126" s="17">
        <f>ROUND(M126/9,-1)</f>
        <v>6520</v>
      </c>
      <c r="P126" s="14">
        <f>O126</f>
        <v>6520</v>
      </c>
      <c r="Q126" s="17">
        <f>ROUND(M126/13,-1)</f>
        <v>4520</v>
      </c>
      <c r="R126" s="14">
        <f t="shared" ref="R126" si="453">Q126</f>
        <v>4520</v>
      </c>
      <c r="S126" s="14">
        <f t="shared" ref="S126" si="454">Q126</f>
        <v>4520</v>
      </c>
      <c r="T126" s="17">
        <f>ROUND(M126/16,-1)</f>
        <v>3670</v>
      </c>
      <c r="U126" s="14">
        <f t="shared" ref="U126" si="455">T126</f>
        <v>3670</v>
      </c>
      <c r="V126" s="14">
        <f t="shared" ref="V126" si="456">T126</f>
        <v>3670</v>
      </c>
      <c r="W126" s="17">
        <f>ROUND(M126/20,-1)</f>
        <v>2940</v>
      </c>
      <c r="X126" s="14">
        <f t="shared" ref="X126" si="457">W126</f>
        <v>2940</v>
      </c>
      <c r="Y126" s="14">
        <f t="shared" ref="Y126" si="458">W126</f>
        <v>2940</v>
      </c>
      <c r="Z126" s="14">
        <f t="shared" ref="Z126" si="459">W126</f>
        <v>2940</v>
      </c>
      <c r="AA126" s="17">
        <f>ROUND(M126/24,-1)</f>
        <v>2450</v>
      </c>
      <c r="AB126" s="14">
        <f t="shared" ref="AB126" si="460">AA126</f>
        <v>2450</v>
      </c>
      <c r="AC126" s="14">
        <f t="shared" ref="AC126" si="461">AB126</f>
        <v>2450</v>
      </c>
      <c r="AD126" s="14">
        <f t="shared" ref="AD126" si="462">AC126</f>
        <v>2450</v>
      </c>
      <c r="AE126" s="14">
        <f t="shared" ref="AE126" si="463">AD126</f>
        <v>2450</v>
      </c>
      <c r="AF126" s="14">
        <f t="shared" ref="AF126" si="464">AE126</f>
        <v>2450</v>
      </c>
      <c r="AG126" s="14">
        <f t="shared" ref="AG126" si="465">AF126</f>
        <v>2450</v>
      </c>
      <c r="AH126" s="14">
        <f t="shared" ref="AH126" si="466">AG126</f>
        <v>2450</v>
      </c>
      <c r="AI126" s="14">
        <f t="shared" ref="AI126" si="467">AH126</f>
        <v>2450</v>
      </c>
      <c r="AJ126" s="14">
        <f t="shared" ref="AJ126" si="468">AI126</f>
        <v>2450</v>
      </c>
      <c r="AK126" s="14">
        <f t="shared" ref="AK126" si="469">AJ126</f>
        <v>2450</v>
      </c>
      <c r="AL126" s="14">
        <f t="shared" ref="AL126" si="470">AK126</f>
        <v>2450</v>
      </c>
      <c r="AM126" s="14">
        <f t="shared" ref="AM126" si="471">AL126</f>
        <v>2450</v>
      </c>
    </row>
    <row r="127" spans="1:39" x14ac:dyDescent="0.35">
      <c r="B127" s="1"/>
      <c r="C127" s="12"/>
      <c r="D127" s="2"/>
      <c r="L127" s="5"/>
      <c r="M127" s="5"/>
      <c r="N127" s="170"/>
    </row>
    <row r="128" spans="1:39" x14ac:dyDescent="0.35">
      <c r="A128" s="28"/>
      <c r="B128" s="1"/>
      <c r="C128" s="12" t="s">
        <v>186</v>
      </c>
      <c r="D128" s="2"/>
      <c r="E128" s="30"/>
      <c r="F128" s="30"/>
      <c r="G128" s="32">
        <v>2500</v>
      </c>
      <c r="I128" s="32">
        <v>2500</v>
      </c>
      <c r="J128" s="32">
        <v>2500</v>
      </c>
      <c r="K128" s="32">
        <v>2500</v>
      </c>
      <c r="L128" s="5"/>
      <c r="M128" s="5"/>
      <c r="N128" s="170"/>
      <c r="O128" s="36">
        <f>ROUND(M128/6,-1)</f>
        <v>0</v>
      </c>
      <c r="P128" s="37">
        <f>O128</f>
        <v>0</v>
      </c>
      <c r="Q128" s="36">
        <f>ROUND(M128/9,-1)</f>
        <v>0</v>
      </c>
      <c r="R128" s="37">
        <f t="shared" ref="R128:R130" si="472">Q128</f>
        <v>0</v>
      </c>
      <c r="S128" s="37">
        <f t="shared" ref="S128:S130" si="473">Q128</f>
        <v>0</v>
      </c>
      <c r="T128" s="36">
        <f>ROUND(M128/11,-1)</f>
        <v>0</v>
      </c>
      <c r="U128" s="37">
        <f t="shared" ref="U128:U130" si="474">T128</f>
        <v>0</v>
      </c>
      <c r="V128" s="37">
        <f t="shared" ref="V128:V130" si="475">T128</f>
        <v>0</v>
      </c>
      <c r="W128" s="36">
        <f>ROUND(M128/13,-1)</f>
        <v>0</v>
      </c>
      <c r="X128" s="37">
        <f t="shared" ref="X128:X130" si="476">W128</f>
        <v>0</v>
      </c>
      <c r="Y128" s="37">
        <f t="shared" ref="Y128:Y130" si="477">W128</f>
        <v>0</v>
      </c>
      <c r="Z128" s="37">
        <f t="shared" ref="Z128:Z130" si="478">W128</f>
        <v>0</v>
      </c>
      <c r="AA128" s="36">
        <f>ROUND(M128/15,-1)</f>
        <v>0</v>
      </c>
      <c r="AB128" s="37">
        <f t="shared" ref="AB128:AB130" si="479">AA128</f>
        <v>0</v>
      </c>
      <c r="AC128" s="37">
        <f t="shared" ref="AC128:AC130" si="480">AB128</f>
        <v>0</v>
      </c>
      <c r="AD128" s="37">
        <f t="shared" ref="AD128:AD130" si="481">AC128</f>
        <v>0</v>
      </c>
      <c r="AE128" s="37">
        <f t="shared" ref="AE128:AE130" si="482">AD128</f>
        <v>0</v>
      </c>
      <c r="AF128" s="37">
        <f t="shared" ref="AF128:AF130" si="483">AE128</f>
        <v>0</v>
      </c>
      <c r="AG128" s="37">
        <f t="shared" ref="AG128:AG130" si="484">AF128</f>
        <v>0</v>
      </c>
      <c r="AH128" s="37">
        <f t="shared" ref="AH128:AH130" si="485">AG128</f>
        <v>0</v>
      </c>
      <c r="AI128" s="37">
        <f t="shared" ref="AI128:AI130" si="486">AH128</f>
        <v>0</v>
      </c>
      <c r="AJ128" s="37">
        <f t="shared" ref="AJ128:AJ130" si="487">AI128</f>
        <v>0</v>
      </c>
      <c r="AK128" s="37">
        <f t="shared" ref="AK128:AK130" si="488">AJ128</f>
        <v>0</v>
      </c>
      <c r="AL128" s="37">
        <f t="shared" ref="AL128:AL130" si="489">AK128</f>
        <v>0</v>
      </c>
      <c r="AM128" s="37">
        <f t="shared" ref="AM128:AM130" si="490">AL128</f>
        <v>0</v>
      </c>
    </row>
    <row r="129" spans="1:39" x14ac:dyDescent="0.35">
      <c r="A129" s="5"/>
      <c r="B129" s="11"/>
      <c r="C129" s="177" t="s">
        <v>315</v>
      </c>
      <c r="D129" s="12" t="s">
        <v>1</v>
      </c>
      <c r="E129" s="12"/>
      <c r="F129" s="12" t="s">
        <v>168</v>
      </c>
      <c r="L129" s="5"/>
      <c r="M129" s="5"/>
      <c r="N129" s="170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</row>
    <row r="130" spans="1:39" s="28" customFormat="1" x14ac:dyDescent="0.35">
      <c r="B130" s="35"/>
      <c r="C130" s="31" t="s">
        <v>317</v>
      </c>
      <c r="D130" s="31" t="s">
        <v>1</v>
      </c>
      <c r="E130" s="31"/>
      <c r="F130" s="31" t="s">
        <v>168</v>
      </c>
      <c r="G130" s="32">
        <v>50000</v>
      </c>
      <c r="H130" s="6">
        <v>50000</v>
      </c>
      <c r="I130" s="32">
        <v>50000</v>
      </c>
      <c r="J130" s="32">
        <v>50000</v>
      </c>
      <c r="K130" s="32">
        <v>50000</v>
      </c>
      <c r="N130" s="170"/>
      <c r="O130" s="36">
        <f>ROUND(M130/6,-1)</f>
        <v>0</v>
      </c>
      <c r="P130" s="37">
        <f>O130</f>
        <v>0</v>
      </c>
      <c r="Q130" s="36">
        <f>ROUND(M130/9,-1)</f>
        <v>0</v>
      </c>
      <c r="R130" s="37">
        <f t="shared" si="472"/>
        <v>0</v>
      </c>
      <c r="S130" s="37">
        <f t="shared" si="473"/>
        <v>0</v>
      </c>
      <c r="T130" s="36">
        <f>ROUND(M130/11,-1)</f>
        <v>0</v>
      </c>
      <c r="U130" s="37">
        <f t="shared" si="474"/>
        <v>0</v>
      </c>
      <c r="V130" s="37">
        <f t="shared" si="475"/>
        <v>0</v>
      </c>
      <c r="W130" s="36">
        <f>ROUND(M130/13,-1)</f>
        <v>0</v>
      </c>
      <c r="X130" s="37">
        <f t="shared" si="476"/>
        <v>0</v>
      </c>
      <c r="Y130" s="37">
        <f t="shared" si="477"/>
        <v>0</v>
      </c>
      <c r="Z130" s="37">
        <f t="shared" si="478"/>
        <v>0</v>
      </c>
      <c r="AA130" s="36">
        <f>ROUND(M130/15,-1)</f>
        <v>0</v>
      </c>
      <c r="AB130" s="37">
        <f t="shared" si="479"/>
        <v>0</v>
      </c>
      <c r="AC130" s="37">
        <f t="shared" si="480"/>
        <v>0</v>
      </c>
      <c r="AD130" s="37">
        <f t="shared" si="481"/>
        <v>0</v>
      </c>
      <c r="AE130" s="37">
        <f t="shared" si="482"/>
        <v>0</v>
      </c>
      <c r="AF130" s="37">
        <f t="shared" si="483"/>
        <v>0</v>
      </c>
      <c r="AG130" s="37">
        <f t="shared" si="484"/>
        <v>0</v>
      </c>
      <c r="AH130" s="37">
        <f t="shared" si="485"/>
        <v>0</v>
      </c>
      <c r="AI130" s="37">
        <f t="shared" si="486"/>
        <v>0</v>
      </c>
      <c r="AJ130" s="37">
        <f t="shared" si="487"/>
        <v>0</v>
      </c>
      <c r="AK130" s="37">
        <f t="shared" si="488"/>
        <v>0</v>
      </c>
      <c r="AL130" s="37">
        <f t="shared" si="489"/>
        <v>0</v>
      </c>
      <c r="AM130" s="37">
        <f t="shared" si="490"/>
        <v>0</v>
      </c>
    </row>
    <row r="131" spans="1:39" s="28" customFormat="1" x14ac:dyDescent="0.35">
      <c r="B131" s="35"/>
      <c r="C131" s="31" t="s">
        <v>318</v>
      </c>
      <c r="D131" s="31" t="s">
        <v>1</v>
      </c>
      <c r="E131" s="31"/>
      <c r="F131" s="31" t="s">
        <v>168</v>
      </c>
      <c r="G131" s="32">
        <v>12000</v>
      </c>
      <c r="H131" s="6">
        <v>10100</v>
      </c>
      <c r="I131" s="32">
        <v>12000</v>
      </c>
      <c r="J131" s="32">
        <v>12000</v>
      </c>
      <c r="K131" s="32">
        <v>12000</v>
      </c>
      <c r="N131" s="170"/>
      <c r="O131" s="36">
        <f>ROUND(M131/6,-1)</f>
        <v>0</v>
      </c>
      <c r="P131" s="37">
        <f>O131</f>
        <v>0</v>
      </c>
      <c r="Q131" s="36">
        <f>ROUND(M131/9,-1)</f>
        <v>0</v>
      </c>
      <c r="R131" s="37">
        <f t="shared" ref="R131:R132" si="491">Q131</f>
        <v>0</v>
      </c>
      <c r="S131" s="37">
        <f t="shared" ref="S131:S132" si="492">Q131</f>
        <v>0</v>
      </c>
      <c r="T131" s="36">
        <f>ROUND(M131/11,-1)</f>
        <v>0</v>
      </c>
      <c r="U131" s="37">
        <f t="shared" ref="U131:U132" si="493">T131</f>
        <v>0</v>
      </c>
      <c r="V131" s="37">
        <f t="shared" ref="V131:V132" si="494">T131</f>
        <v>0</v>
      </c>
      <c r="W131" s="36">
        <f>ROUND(M131/13,-1)</f>
        <v>0</v>
      </c>
      <c r="X131" s="37">
        <f t="shared" ref="X131:X132" si="495">W131</f>
        <v>0</v>
      </c>
      <c r="Y131" s="37">
        <f t="shared" ref="Y131:Y132" si="496">W131</f>
        <v>0</v>
      </c>
      <c r="Z131" s="37">
        <f t="shared" ref="Z131:Z132" si="497">W131</f>
        <v>0</v>
      </c>
      <c r="AA131" s="36">
        <f>ROUND(M131/15,-1)</f>
        <v>0</v>
      </c>
      <c r="AB131" s="37">
        <f t="shared" ref="AB131:AB132" si="498">AA131</f>
        <v>0</v>
      </c>
      <c r="AC131" s="37">
        <f t="shared" ref="AC131:AC132" si="499">AB131</f>
        <v>0</v>
      </c>
      <c r="AD131" s="37">
        <f t="shared" ref="AD131:AD132" si="500">AC131</f>
        <v>0</v>
      </c>
      <c r="AE131" s="37">
        <f t="shared" ref="AE131:AE132" si="501">AD131</f>
        <v>0</v>
      </c>
      <c r="AF131" s="37">
        <f t="shared" ref="AF131:AF132" si="502">AE131</f>
        <v>0</v>
      </c>
      <c r="AG131" s="37">
        <f t="shared" ref="AG131:AG132" si="503">AF131</f>
        <v>0</v>
      </c>
      <c r="AH131" s="37">
        <f t="shared" ref="AH131:AH132" si="504">AG131</f>
        <v>0</v>
      </c>
      <c r="AI131" s="37">
        <f t="shared" ref="AI131:AI132" si="505">AH131</f>
        <v>0</v>
      </c>
      <c r="AJ131" s="37">
        <f t="shared" ref="AJ131:AJ132" si="506">AI131</f>
        <v>0</v>
      </c>
      <c r="AK131" s="37">
        <f t="shared" ref="AK131:AK132" si="507">AJ131</f>
        <v>0</v>
      </c>
      <c r="AL131" s="37">
        <f t="shared" ref="AL131:AL132" si="508">AK131</f>
        <v>0</v>
      </c>
      <c r="AM131" s="37">
        <f t="shared" ref="AM131:AM132" si="509">AL131</f>
        <v>0</v>
      </c>
    </row>
    <row r="132" spans="1:39" x14ac:dyDescent="0.35">
      <c r="A132">
        <v>44470</v>
      </c>
      <c r="B132" s="1"/>
      <c r="C132" s="164" t="s">
        <v>319</v>
      </c>
      <c r="D132" s="2" t="s">
        <v>1</v>
      </c>
      <c r="E132" s="2"/>
      <c r="F132" s="2" t="s">
        <v>168</v>
      </c>
      <c r="G132" s="6">
        <v>1700</v>
      </c>
      <c r="H132" s="6">
        <v>800</v>
      </c>
      <c r="I132" s="6">
        <v>1700</v>
      </c>
      <c r="J132" s="6">
        <v>1700</v>
      </c>
      <c r="K132" s="6">
        <v>2000</v>
      </c>
      <c r="L132" s="155"/>
      <c r="M132" s="155">
        <v>10000</v>
      </c>
      <c r="N132" s="169">
        <v>7500</v>
      </c>
      <c r="O132" s="16">
        <f>ROUND(M132/6,-1)</f>
        <v>1670</v>
      </c>
      <c r="P132" s="14">
        <f>O132</f>
        <v>1670</v>
      </c>
      <c r="Q132" s="17">
        <f>ROUND(M132/9,-1)</f>
        <v>1110</v>
      </c>
      <c r="R132" s="14">
        <f t="shared" si="491"/>
        <v>1110</v>
      </c>
      <c r="S132" s="14">
        <f t="shared" si="492"/>
        <v>1110</v>
      </c>
      <c r="T132" s="17">
        <f>ROUND(M132/11,-1)</f>
        <v>910</v>
      </c>
      <c r="U132" s="14">
        <f t="shared" si="493"/>
        <v>910</v>
      </c>
      <c r="V132" s="14">
        <f t="shared" si="494"/>
        <v>910</v>
      </c>
      <c r="W132" s="17">
        <f>ROUND(M132/13,-1)</f>
        <v>770</v>
      </c>
      <c r="X132" s="14">
        <f t="shared" si="495"/>
        <v>770</v>
      </c>
      <c r="Y132" s="14">
        <f t="shared" si="496"/>
        <v>770</v>
      </c>
      <c r="Z132" s="14">
        <f t="shared" si="497"/>
        <v>770</v>
      </c>
      <c r="AA132" s="17">
        <f>ROUND(M132/15,-1)</f>
        <v>670</v>
      </c>
      <c r="AB132" s="14">
        <f t="shared" si="498"/>
        <v>670</v>
      </c>
      <c r="AC132" s="14">
        <f t="shared" si="499"/>
        <v>670</v>
      </c>
      <c r="AD132" s="14">
        <f t="shared" si="500"/>
        <v>670</v>
      </c>
      <c r="AE132" s="14">
        <f t="shared" si="501"/>
        <v>670</v>
      </c>
      <c r="AF132" s="14">
        <f t="shared" si="502"/>
        <v>670</v>
      </c>
      <c r="AG132" s="14">
        <f t="shared" si="503"/>
        <v>670</v>
      </c>
      <c r="AH132" s="14">
        <f t="shared" si="504"/>
        <v>670</v>
      </c>
      <c r="AI132" s="14">
        <f t="shared" si="505"/>
        <v>670</v>
      </c>
      <c r="AJ132" s="14">
        <f t="shared" si="506"/>
        <v>670</v>
      </c>
      <c r="AK132" s="14">
        <f t="shared" si="507"/>
        <v>670</v>
      </c>
      <c r="AL132" s="14">
        <f t="shared" si="508"/>
        <v>670</v>
      </c>
      <c r="AM132" s="14">
        <f t="shared" si="509"/>
        <v>670</v>
      </c>
    </row>
    <row r="133" spans="1:39" s="150" customFormat="1" x14ac:dyDescent="0.35">
      <c r="A133" s="161">
        <v>44470</v>
      </c>
      <c r="B133" s="7"/>
      <c r="C133" s="164" t="s">
        <v>327</v>
      </c>
      <c r="D133" s="151" t="s">
        <v>1</v>
      </c>
      <c r="E133" s="151"/>
      <c r="F133" s="151" t="s">
        <v>168</v>
      </c>
      <c r="G133" s="152">
        <v>535</v>
      </c>
      <c r="H133" s="6">
        <v>535</v>
      </c>
      <c r="I133" s="152">
        <f>535*7</f>
        <v>3745</v>
      </c>
      <c r="J133" s="152">
        <v>3745</v>
      </c>
      <c r="K133" s="152">
        <v>4900</v>
      </c>
      <c r="L133" s="150">
        <v>4900</v>
      </c>
      <c r="M133" s="150">
        <v>4900</v>
      </c>
      <c r="N133" s="170">
        <v>4900</v>
      </c>
      <c r="O133" s="153">
        <f>ROUND(M133/8,0)</f>
        <v>613</v>
      </c>
      <c r="P133" s="154">
        <f>O133</f>
        <v>613</v>
      </c>
      <c r="Q133" s="153">
        <f>ROUND(M133/11,0)</f>
        <v>445</v>
      </c>
      <c r="R133" s="154">
        <f t="shared" ref="R133" si="510">Q133</f>
        <v>445</v>
      </c>
      <c r="S133" s="154">
        <f t="shared" ref="S133" si="511">Q133</f>
        <v>445</v>
      </c>
      <c r="T133" s="153">
        <f>ROUND(M133/13,0)</f>
        <v>377</v>
      </c>
      <c r="U133" s="154">
        <f t="shared" ref="U133" si="512">T133</f>
        <v>377</v>
      </c>
      <c r="V133" s="154">
        <f t="shared" ref="V133" si="513">T133</f>
        <v>377</v>
      </c>
      <c r="W133" s="153">
        <f>ROUND(M133/15,0)</f>
        <v>327</v>
      </c>
      <c r="X133" s="154">
        <f t="shared" ref="X133" si="514">W133</f>
        <v>327</v>
      </c>
      <c r="Y133" s="154">
        <f t="shared" ref="Y133" si="515">W133</f>
        <v>327</v>
      </c>
      <c r="Z133" s="154">
        <f t="shared" ref="Z133" si="516">W133</f>
        <v>327</v>
      </c>
      <c r="AA133" s="153">
        <f>ROUND(M133/18,0)</f>
        <v>272</v>
      </c>
      <c r="AB133" s="154">
        <f t="shared" ref="AB133" si="517">AA133</f>
        <v>272</v>
      </c>
      <c r="AC133" s="154">
        <f t="shared" ref="AC133" si="518">AB133</f>
        <v>272</v>
      </c>
      <c r="AD133" s="154">
        <f t="shared" ref="AD133" si="519">AC133</f>
        <v>272</v>
      </c>
      <c r="AE133" s="154">
        <f t="shared" ref="AE133" si="520">AD133</f>
        <v>272</v>
      </c>
      <c r="AF133" s="154">
        <f t="shared" ref="AF133" si="521">AE133</f>
        <v>272</v>
      </c>
      <c r="AG133" s="154">
        <f t="shared" ref="AG133" si="522">AF133</f>
        <v>272</v>
      </c>
      <c r="AH133" s="154">
        <f t="shared" ref="AH133" si="523">AG133</f>
        <v>272</v>
      </c>
      <c r="AI133" s="154">
        <f t="shared" ref="AI133" si="524">AH133</f>
        <v>272</v>
      </c>
      <c r="AJ133" s="154">
        <f t="shared" ref="AJ133" si="525">AI133</f>
        <v>272</v>
      </c>
      <c r="AK133" s="154">
        <f t="shared" ref="AK133" si="526">AJ133</f>
        <v>272</v>
      </c>
      <c r="AL133" s="154">
        <f t="shared" ref="AL133" si="527">AK133</f>
        <v>272</v>
      </c>
      <c r="AM133" s="157">
        <f>AL133*0.9</f>
        <v>244.8</v>
      </c>
    </row>
    <row r="134" spans="1:39" x14ac:dyDescent="0.35">
      <c r="A134" s="5"/>
      <c r="B134" s="11"/>
      <c r="C134" s="12"/>
      <c r="D134" s="12"/>
      <c r="E134" s="12"/>
      <c r="F134" s="12"/>
      <c r="O134" s="149"/>
      <c r="P134" s="148"/>
      <c r="Q134" s="149"/>
      <c r="R134" s="148"/>
      <c r="S134" s="148"/>
      <c r="T134" s="149"/>
      <c r="U134" s="148"/>
      <c r="V134" s="148"/>
      <c r="W134" s="149"/>
      <c r="X134" s="148"/>
      <c r="Y134" s="148"/>
      <c r="Z134" s="148"/>
      <c r="AA134" s="149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7"/>
    </row>
    <row r="135" spans="1:39" x14ac:dyDescent="0.35">
      <c r="A135" s="5"/>
      <c r="B135" s="11"/>
      <c r="C135" s="12"/>
      <c r="D135" s="12"/>
      <c r="E135" s="12"/>
      <c r="F135" s="12"/>
      <c r="O135" s="149"/>
      <c r="P135" s="148"/>
      <c r="Q135" s="149"/>
      <c r="R135" s="148"/>
      <c r="S135" s="148"/>
      <c r="T135" s="149"/>
      <c r="U135" s="148"/>
      <c r="V135" s="148"/>
      <c r="W135" s="149"/>
      <c r="X135" s="148"/>
      <c r="Y135" s="148"/>
      <c r="Z135" s="148"/>
      <c r="AA135" s="149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7"/>
    </row>
    <row r="136" spans="1:39" x14ac:dyDescent="0.35">
      <c r="A136" s="5"/>
      <c r="B136" s="11"/>
      <c r="C136" s="12"/>
      <c r="D136" s="12"/>
      <c r="E136" s="12"/>
      <c r="F136" s="12"/>
      <c r="O136" s="149"/>
      <c r="P136" s="148"/>
      <c r="Q136" s="149"/>
      <c r="R136" s="148"/>
      <c r="S136" s="148"/>
      <c r="T136" s="149"/>
      <c r="U136" s="148"/>
      <c r="V136" s="148"/>
      <c r="W136" s="149"/>
      <c r="X136" s="148"/>
      <c r="Y136" s="148"/>
      <c r="Z136" s="148"/>
      <c r="AA136" s="149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7"/>
    </row>
    <row r="137" spans="1:39" x14ac:dyDescent="0.35">
      <c r="A137" s="5"/>
      <c r="B137" s="11"/>
      <c r="C137" s="12"/>
      <c r="D137" s="12"/>
      <c r="E137" s="12"/>
      <c r="F137" s="12"/>
      <c r="O137" s="149"/>
      <c r="P137" s="148"/>
      <c r="Q137" s="149"/>
      <c r="R137" s="148"/>
      <c r="S137" s="148"/>
      <c r="T137" s="149"/>
      <c r="U137" s="148"/>
      <c r="V137" s="148"/>
      <c r="W137" s="149"/>
      <c r="X137" s="148"/>
      <c r="Y137" s="148"/>
      <c r="Z137" s="148"/>
      <c r="AA137" s="149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7"/>
    </row>
    <row r="138" spans="1:39" x14ac:dyDescent="0.35">
      <c r="A138" s="28"/>
      <c r="B138" s="29"/>
      <c r="C138" s="30"/>
      <c r="D138" s="31"/>
      <c r="E138" s="30"/>
      <c r="F138" s="30"/>
      <c r="G138" s="32"/>
      <c r="I138" s="32"/>
      <c r="J138" s="32"/>
      <c r="K138" s="32"/>
      <c r="L138" s="32"/>
      <c r="M138" s="32"/>
      <c r="O138" s="33"/>
      <c r="P138" s="34"/>
      <c r="Q138" s="33"/>
      <c r="R138" s="34"/>
      <c r="S138" s="34"/>
      <c r="T138" s="33"/>
      <c r="U138" s="34"/>
      <c r="V138" s="34"/>
      <c r="W138" s="33"/>
      <c r="X138" s="34"/>
      <c r="Y138" s="34"/>
      <c r="Z138" s="34"/>
      <c r="AA138" s="33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 x14ac:dyDescent="0.35">
      <c r="A139" s="161">
        <v>44470</v>
      </c>
      <c r="B139" s="159"/>
      <c r="C139" s="38" t="s">
        <v>203</v>
      </c>
      <c r="D139" s="39" t="s">
        <v>13</v>
      </c>
      <c r="E139" s="38"/>
      <c r="F139" s="38" t="s">
        <v>182</v>
      </c>
      <c r="G139" s="40"/>
      <c r="I139" s="40"/>
      <c r="J139" s="40"/>
      <c r="K139" s="40"/>
      <c r="L139" s="40"/>
      <c r="M139" s="40"/>
      <c r="O139" s="41">
        <f t="shared" ref="O139:AM139" si="528">ROUND(($D$140*O191+$D$141*O99+$D$142*O101+$D144*O84)*0.9,-1)</f>
        <v>9160</v>
      </c>
      <c r="P139" s="41">
        <f t="shared" si="528"/>
        <v>9160</v>
      </c>
      <c r="Q139" s="41">
        <f t="shared" si="528"/>
        <v>6120</v>
      </c>
      <c r="R139" s="41">
        <f t="shared" si="528"/>
        <v>6120</v>
      </c>
      <c r="S139" s="41">
        <f t="shared" si="528"/>
        <v>6120</v>
      </c>
      <c r="T139" s="41">
        <f t="shared" si="528"/>
        <v>5020</v>
      </c>
      <c r="U139" s="41">
        <f t="shared" si="528"/>
        <v>5020</v>
      </c>
      <c r="V139" s="41">
        <f t="shared" si="528"/>
        <v>5020</v>
      </c>
      <c r="W139" s="41">
        <f t="shared" si="528"/>
        <v>4180</v>
      </c>
      <c r="X139" s="41">
        <f t="shared" si="528"/>
        <v>4180</v>
      </c>
      <c r="Y139" s="41">
        <f t="shared" si="528"/>
        <v>4180</v>
      </c>
      <c r="Z139" s="41">
        <f t="shared" si="528"/>
        <v>4180</v>
      </c>
      <c r="AA139" s="41">
        <f t="shared" si="528"/>
        <v>3690</v>
      </c>
      <c r="AB139" s="41">
        <f t="shared" si="528"/>
        <v>3690</v>
      </c>
      <c r="AC139" s="41">
        <f t="shared" si="528"/>
        <v>3690</v>
      </c>
      <c r="AD139" s="41">
        <f t="shared" si="528"/>
        <v>3690</v>
      </c>
      <c r="AE139" s="41">
        <f t="shared" si="528"/>
        <v>3690</v>
      </c>
      <c r="AF139" s="41">
        <f t="shared" si="528"/>
        <v>3690</v>
      </c>
      <c r="AG139" s="41">
        <f t="shared" si="528"/>
        <v>3690</v>
      </c>
      <c r="AH139" s="41">
        <f t="shared" si="528"/>
        <v>3690</v>
      </c>
      <c r="AI139" s="41">
        <f t="shared" si="528"/>
        <v>3690</v>
      </c>
      <c r="AJ139" s="41">
        <f t="shared" si="528"/>
        <v>3690</v>
      </c>
      <c r="AK139" s="41">
        <f t="shared" si="528"/>
        <v>3690</v>
      </c>
      <c r="AL139" s="41">
        <f t="shared" si="528"/>
        <v>3690</v>
      </c>
      <c r="AM139" s="41">
        <f t="shared" si="528"/>
        <v>3690</v>
      </c>
    </row>
    <row r="140" spans="1:39" s="23" customFormat="1" x14ac:dyDescent="0.35">
      <c r="A140" s="20"/>
      <c r="B140" s="21"/>
      <c r="C140" s="22"/>
      <c r="D140" s="21">
        <v>0</v>
      </c>
      <c r="E140" s="21"/>
      <c r="F140" s="21"/>
      <c r="G140" s="24"/>
      <c r="H140" s="24"/>
      <c r="I140" s="24"/>
      <c r="J140" s="24"/>
      <c r="K140" s="24"/>
      <c r="L140" s="24"/>
      <c r="M140" s="24"/>
      <c r="N140" s="172"/>
      <c r="O140" s="25"/>
      <c r="P140" s="20"/>
      <c r="Q140" s="25"/>
      <c r="R140" s="20"/>
      <c r="S140" s="20"/>
      <c r="T140" s="25"/>
      <c r="U140" s="20"/>
      <c r="V140" s="20"/>
      <c r="W140" s="25"/>
      <c r="X140" s="20"/>
      <c r="Y140" s="20"/>
      <c r="Z140" s="20"/>
      <c r="AA140" s="25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</row>
    <row r="141" spans="1:39" s="23" customFormat="1" x14ac:dyDescent="0.35">
      <c r="A141" s="20"/>
      <c r="B141" s="21"/>
      <c r="C141" s="22" t="str">
        <f>C99</f>
        <v>T3 - Стол 160 х 80 см</v>
      </c>
      <c r="D141" s="21">
        <v>2</v>
      </c>
      <c r="E141" s="21"/>
      <c r="F141" s="21"/>
      <c r="G141" s="24"/>
      <c r="H141" s="24"/>
      <c r="I141" s="24"/>
      <c r="J141" s="24"/>
      <c r="K141" s="24"/>
      <c r="L141" s="24"/>
      <c r="M141" s="24"/>
      <c r="N141" s="172"/>
      <c r="O141" s="25"/>
      <c r="P141" s="20"/>
      <c r="Q141" s="25"/>
      <c r="R141" s="20"/>
      <c r="S141" s="20"/>
      <c r="T141" s="25"/>
      <c r="U141" s="20"/>
      <c r="V141" s="20"/>
      <c r="W141" s="25"/>
      <c r="X141" s="20"/>
      <c r="Y141" s="20"/>
      <c r="Z141" s="20"/>
      <c r="AA141" s="25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</row>
    <row r="142" spans="1:39" s="23" customFormat="1" x14ac:dyDescent="0.35">
      <c r="A142" s="20"/>
      <c r="B142" s="21"/>
      <c r="C142" s="22" t="s">
        <v>302</v>
      </c>
      <c r="D142" s="21">
        <v>12</v>
      </c>
      <c r="E142" s="21"/>
      <c r="F142" s="21"/>
      <c r="G142" s="24"/>
      <c r="H142" s="24"/>
      <c r="I142" s="24"/>
      <c r="J142" s="24"/>
      <c r="K142" s="24"/>
      <c r="L142" s="24"/>
      <c r="M142" s="24"/>
      <c r="N142" s="172"/>
      <c r="O142" s="25"/>
      <c r="P142" s="20"/>
      <c r="Q142" s="25"/>
      <c r="R142" s="20"/>
      <c r="S142" s="20"/>
      <c r="T142" s="25"/>
      <c r="U142" s="20"/>
      <c r="V142" s="20"/>
      <c r="W142" s="25"/>
      <c r="X142" s="20"/>
      <c r="Y142" s="20"/>
      <c r="Z142" s="20"/>
      <c r="AA142" s="25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</row>
    <row r="143" spans="1:39" s="23" customFormat="1" x14ac:dyDescent="0.35">
      <c r="A143" s="20"/>
      <c r="B143" s="21"/>
      <c r="C143" s="26" t="s">
        <v>184</v>
      </c>
      <c r="D143" s="21">
        <v>1</v>
      </c>
      <c r="E143" s="21"/>
      <c r="F143" s="21"/>
      <c r="G143" s="24"/>
      <c r="H143" s="24"/>
      <c r="I143" s="24"/>
      <c r="J143" s="24"/>
      <c r="K143" s="24"/>
      <c r="L143" s="24"/>
      <c r="M143" s="24"/>
      <c r="N143" s="172"/>
      <c r="O143" s="25"/>
      <c r="P143" s="20"/>
      <c r="Q143" s="25"/>
      <c r="R143" s="20"/>
      <c r="S143" s="20"/>
      <c r="T143" s="25"/>
      <c r="U143" s="20"/>
      <c r="V143" s="20"/>
      <c r="W143" s="25"/>
      <c r="X143" s="20"/>
      <c r="Y143" s="20"/>
      <c r="Z143" s="20"/>
      <c r="AA143" s="25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</row>
    <row r="144" spans="1:39" s="23" customFormat="1" x14ac:dyDescent="0.35">
      <c r="A144" s="20"/>
      <c r="B144" s="21"/>
      <c r="C144" s="22" t="s">
        <v>12</v>
      </c>
      <c r="D144" s="21">
        <v>2</v>
      </c>
      <c r="E144" s="21"/>
      <c r="F144" s="21"/>
      <c r="G144" s="24"/>
      <c r="H144" s="24"/>
      <c r="I144" s="24"/>
      <c r="J144" s="24"/>
      <c r="K144" s="24"/>
      <c r="L144" s="24"/>
      <c r="M144" s="24"/>
      <c r="N144" s="172"/>
      <c r="O144" s="25"/>
      <c r="P144" s="20"/>
      <c r="Q144" s="25"/>
      <c r="R144" s="20"/>
      <c r="S144" s="20"/>
      <c r="T144" s="25"/>
      <c r="U144" s="20"/>
      <c r="V144" s="20"/>
      <c r="W144" s="25"/>
      <c r="X144" s="20"/>
      <c r="Y144" s="20"/>
      <c r="Z144" s="20"/>
      <c r="AA144" s="25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</row>
    <row r="145" spans="1:39" x14ac:dyDescent="0.35">
      <c r="A145" s="161">
        <v>44470</v>
      </c>
      <c r="B145" s="159"/>
      <c r="C145" s="38" t="s">
        <v>188</v>
      </c>
      <c r="D145" s="39" t="s">
        <v>13</v>
      </c>
      <c r="E145" s="38"/>
      <c r="F145" s="38" t="s">
        <v>182</v>
      </c>
      <c r="G145" s="40"/>
      <c r="I145" s="40"/>
      <c r="J145" s="40"/>
      <c r="K145" s="40"/>
      <c r="L145" s="40"/>
      <c r="M145" s="40"/>
      <c r="O145" s="41">
        <f t="shared" ref="O145:AM145" si="529">ROUND(($D$146*O99+$D$147*O101+$D$148*O88+$D$150*O84)*0.9,-1)</f>
        <v>8410</v>
      </c>
      <c r="P145" s="41">
        <f t="shared" si="529"/>
        <v>8410</v>
      </c>
      <c r="Q145" s="41">
        <f t="shared" si="529"/>
        <v>5620</v>
      </c>
      <c r="R145" s="41">
        <f t="shared" si="529"/>
        <v>5620</v>
      </c>
      <c r="S145" s="41">
        <f t="shared" si="529"/>
        <v>5620</v>
      </c>
      <c r="T145" s="41">
        <f t="shared" si="529"/>
        <v>4610</v>
      </c>
      <c r="U145" s="41">
        <f t="shared" si="529"/>
        <v>4610</v>
      </c>
      <c r="V145" s="41">
        <f t="shared" si="529"/>
        <v>4610</v>
      </c>
      <c r="W145" s="41">
        <f t="shared" si="529"/>
        <v>3830</v>
      </c>
      <c r="X145" s="41">
        <f t="shared" si="529"/>
        <v>3830</v>
      </c>
      <c r="Y145" s="41">
        <f t="shared" si="529"/>
        <v>3830</v>
      </c>
      <c r="Z145" s="41">
        <f t="shared" si="529"/>
        <v>3830</v>
      </c>
      <c r="AA145" s="41">
        <f t="shared" si="529"/>
        <v>3380</v>
      </c>
      <c r="AB145" s="41">
        <f t="shared" si="529"/>
        <v>3380</v>
      </c>
      <c r="AC145" s="41">
        <f t="shared" si="529"/>
        <v>3380</v>
      </c>
      <c r="AD145" s="41">
        <f t="shared" si="529"/>
        <v>3380</v>
      </c>
      <c r="AE145" s="41">
        <f t="shared" si="529"/>
        <v>3380</v>
      </c>
      <c r="AF145" s="41">
        <f t="shared" si="529"/>
        <v>3380</v>
      </c>
      <c r="AG145" s="41">
        <f t="shared" si="529"/>
        <v>3380</v>
      </c>
      <c r="AH145" s="41">
        <f t="shared" si="529"/>
        <v>3380</v>
      </c>
      <c r="AI145" s="41">
        <f t="shared" si="529"/>
        <v>3380</v>
      </c>
      <c r="AJ145" s="41">
        <f t="shared" si="529"/>
        <v>3380</v>
      </c>
      <c r="AK145" s="41">
        <f t="shared" si="529"/>
        <v>3380</v>
      </c>
      <c r="AL145" s="41">
        <f t="shared" si="529"/>
        <v>3380</v>
      </c>
      <c r="AM145" s="41">
        <f t="shared" si="529"/>
        <v>3380</v>
      </c>
    </row>
    <row r="146" spans="1:39" s="23" customFormat="1" x14ac:dyDescent="0.35">
      <c r="A146" s="20"/>
      <c r="B146" s="21"/>
      <c r="C146" s="22" t="s">
        <v>206</v>
      </c>
      <c r="D146" s="21">
        <v>2</v>
      </c>
      <c r="E146" s="21"/>
      <c r="F146" s="21"/>
      <c r="G146" s="24"/>
      <c r="H146" s="24"/>
      <c r="I146" s="24"/>
      <c r="J146" s="24"/>
      <c r="K146" s="24"/>
      <c r="L146" s="24"/>
      <c r="M146" s="24"/>
      <c r="N146" s="172"/>
      <c r="O146" s="25"/>
      <c r="P146" s="20"/>
      <c r="Q146" s="25"/>
      <c r="R146" s="20"/>
      <c r="S146" s="20"/>
      <c r="T146" s="25"/>
      <c r="U146" s="20"/>
      <c r="V146" s="20"/>
      <c r="W146" s="25"/>
      <c r="X146" s="20"/>
      <c r="Y146" s="20"/>
      <c r="Z146" s="20"/>
      <c r="AA146" s="25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</row>
    <row r="147" spans="1:39" s="23" customFormat="1" x14ac:dyDescent="0.35">
      <c r="A147" s="20"/>
      <c r="B147" s="21"/>
      <c r="C147" s="22" t="s">
        <v>302</v>
      </c>
      <c r="D147" s="21">
        <v>10</v>
      </c>
      <c r="E147" s="21"/>
      <c r="F147" s="21"/>
      <c r="G147" s="24"/>
      <c r="H147" s="24"/>
      <c r="I147" s="24"/>
      <c r="J147" s="24"/>
      <c r="K147" s="24"/>
      <c r="L147" s="24"/>
      <c r="M147" s="24"/>
      <c r="N147" s="172"/>
      <c r="O147" s="25"/>
      <c r="P147" s="20"/>
      <c r="Q147" s="25"/>
      <c r="R147" s="20"/>
      <c r="S147" s="20"/>
      <c r="T147" s="25"/>
      <c r="U147" s="20"/>
      <c r="V147" s="20"/>
      <c r="W147" s="25"/>
      <c r="X147" s="20"/>
      <c r="Y147" s="20"/>
      <c r="Z147" s="20"/>
      <c r="AA147" s="25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</row>
    <row r="148" spans="1:39" s="23" customFormat="1" x14ac:dyDescent="0.35">
      <c r="A148" s="20"/>
      <c r="B148" s="21"/>
      <c r="C148" s="42" t="s">
        <v>185</v>
      </c>
      <c r="D148" s="21">
        <v>1</v>
      </c>
      <c r="E148" s="21"/>
      <c r="F148" s="21"/>
      <c r="G148" s="24"/>
      <c r="H148" s="24"/>
      <c r="I148" s="24"/>
      <c r="J148" s="24"/>
      <c r="K148" s="24"/>
      <c r="L148" s="24"/>
      <c r="M148" s="24"/>
      <c r="N148" s="172"/>
      <c r="O148" s="25"/>
      <c r="P148" s="20"/>
      <c r="Q148" s="25"/>
      <c r="R148" s="20"/>
      <c r="S148" s="20"/>
      <c r="T148" s="25"/>
      <c r="U148" s="20"/>
      <c r="V148" s="20"/>
      <c r="W148" s="25"/>
      <c r="X148" s="20"/>
      <c r="Y148" s="20"/>
      <c r="Z148" s="20"/>
      <c r="AA148" s="25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</row>
    <row r="149" spans="1:39" s="23" customFormat="1" x14ac:dyDescent="0.35">
      <c r="A149" s="20"/>
      <c r="B149" s="21"/>
      <c r="C149" s="42" t="s">
        <v>184</v>
      </c>
      <c r="D149" s="21">
        <v>1</v>
      </c>
      <c r="E149" s="21"/>
      <c r="F149" s="21"/>
      <c r="G149" s="24"/>
      <c r="H149" s="24"/>
      <c r="I149" s="24"/>
      <c r="J149" s="24"/>
      <c r="K149" s="24"/>
      <c r="L149" s="24"/>
      <c r="M149" s="24"/>
      <c r="N149" s="172"/>
      <c r="O149" s="25"/>
      <c r="P149" s="20"/>
      <c r="Q149" s="25"/>
      <c r="R149" s="20"/>
      <c r="S149" s="20"/>
      <c r="T149" s="25"/>
      <c r="U149" s="20"/>
      <c r="V149" s="20"/>
      <c r="W149" s="25"/>
      <c r="X149" s="20"/>
      <c r="Y149" s="20"/>
      <c r="Z149" s="20"/>
      <c r="AA149" s="25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</row>
    <row r="150" spans="1:39" s="23" customFormat="1" x14ac:dyDescent="0.35">
      <c r="A150" s="20"/>
      <c r="B150" s="21"/>
      <c r="C150" s="42" t="s">
        <v>12</v>
      </c>
      <c r="D150" s="21">
        <v>2</v>
      </c>
      <c r="E150" s="21"/>
      <c r="F150" s="21"/>
      <c r="G150" s="24"/>
      <c r="H150" s="24"/>
      <c r="I150" s="24"/>
      <c r="J150" s="24"/>
      <c r="K150" s="24"/>
      <c r="L150" s="24"/>
      <c r="M150" s="24"/>
      <c r="N150" s="172"/>
      <c r="O150" s="25"/>
      <c r="P150" s="20"/>
      <c r="Q150" s="25"/>
      <c r="R150" s="20"/>
      <c r="S150" s="20"/>
      <c r="T150" s="25"/>
      <c r="U150" s="20"/>
      <c r="V150" s="20"/>
      <c r="W150" s="25"/>
      <c r="X150" s="20"/>
      <c r="Y150" s="20"/>
      <c r="Z150" s="20"/>
      <c r="AA150" s="25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</row>
    <row r="151" spans="1:39" s="23" customFormat="1" x14ac:dyDescent="0.35">
      <c r="A151" s="20"/>
      <c r="B151" s="21"/>
      <c r="C151" s="43" t="s">
        <v>189</v>
      </c>
      <c r="D151" s="44">
        <v>1</v>
      </c>
      <c r="E151" s="21"/>
      <c r="F151" s="21"/>
      <c r="G151" s="24"/>
      <c r="H151" s="24"/>
      <c r="I151" s="24"/>
      <c r="J151" s="24"/>
      <c r="K151" s="24"/>
      <c r="L151" s="24"/>
      <c r="M151" s="24"/>
      <c r="N151" s="172"/>
      <c r="O151" s="25"/>
      <c r="P151" s="20"/>
      <c r="Q151" s="25"/>
      <c r="R151" s="20"/>
      <c r="S151" s="20"/>
      <c r="T151" s="25"/>
      <c r="U151" s="20"/>
      <c r="V151" s="20"/>
      <c r="W151" s="25"/>
      <c r="X151" s="20"/>
      <c r="Y151" s="20"/>
      <c r="Z151" s="20"/>
      <c r="AA151" s="25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</row>
    <row r="152" spans="1:39" x14ac:dyDescent="0.35">
      <c r="A152" s="161">
        <v>44470</v>
      </c>
      <c r="B152" s="159"/>
      <c r="C152" s="38" t="s">
        <v>190</v>
      </c>
      <c r="D152" s="39" t="s">
        <v>13</v>
      </c>
      <c r="E152" s="38"/>
      <c r="F152" s="38" t="s">
        <v>182</v>
      </c>
      <c r="G152" s="40"/>
      <c r="I152" s="40"/>
      <c r="J152" s="40"/>
      <c r="K152" s="40"/>
      <c r="L152" s="40"/>
      <c r="M152" s="40"/>
      <c r="O152" s="41">
        <f t="shared" ref="O152:AM152" si="530">ROUND(($D$153*O99+$D$154*O96+$D$155*O106+$D$157*O98+$D$158*O101+$D$159*O109+$D$160*O88+$D$161*O84)*0.9,-1)</f>
        <v>10400</v>
      </c>
      <c r="P152" s="41">
        <f t="shared" si="530"/>
        <v>10400</v>
      </c>
      <c r="Q152" s="41">
        <f t="shared" si="530"/>
        <v>7140</v>
      </c>
      <c r="R152" s="41">
        <f t="shared" si="530"/>
        <v>7140</v>
      </c>
      <c r="S152" s="41">
        <f t="shared" si="530"/>
        <v>7140</v>
      </c>
      <c r="T152" s="41">
        <f t="shared" si="530"/>
        <v>5810</v>
      </c>
      <c r="U152" s="41">
        <f t="shared" si="530"/>
        <v>5810</v>
      </c>
      <c r="V152" s="41">
        <f t="shared" si="530"/>
        <v>5810</v>
      </c>
      <c r="W152" s="41">
        <f t="shared" si="530"/>
        <v>4910</v>
      </c>
      <c r="X152" s="41">
        <f t="shared" si="530"/>
        <v>4910</v>
      </c>
      <c r="Y152" s="41">
        <f t="shared" si="530"/>
        <v>4910</v>
      </c>
      <c r="Z152" s="41">
        <f t="shared" si="530"/>
        <v>4910</v>
      </c>
      <c r="AA152" s="41">
        <f t="shared" si="530"/>
        <v>4330</v>
      </c>
      <c r="AB152" s="41">
        <f t="shared" si="530"/>
        <v>4330</v>
      </c>
      <c r="AC152" s="41">
        <f t="shared" si="530"/>
        <v>4330</v>
      </c>
      <c r="AD152" s="41">
        <f t="shared" si="530"/>
        <v>4330</v>
      </c>
      <c r="AE152" s="41">
        <f t="shared" si="530"/>
        <v>4330</v>
      </c>
      <c r="AF152" s="41">
        <f t="shared" si="530"/>
        <v>4330</v>
      </c>
      <c r="AG152" s="41">
        <f t="shared" si="530"/>
        <v>4330</v>
      </c>
      <c r="AH152" s="41">
        <f t="shared" si="530"/>
        <v>4330</v>
      </c>
      <c r="AI152" s="41">
        <f t="shared" si="530"/>
        <v>4330</v>
      </c>
      <c r="AJ152" s="41">
        <f t="shared" si="530"/>
        <v>4330</v>
      </c>
      <c r="AK152" s="41">
        <f t="shared" si="530"/>
        <v>4330</v>
      </c>
      <c r="AL152" s="41">
        <f t="shared" si="530"/>
        <v>4330</v>
      </c>
      <c r="AM152" s="41">
        <f t="shared" si="530"/>
        <v>4330</v>
      </c>
    </row>
    <row r="153" spans="1:39" s="23" customFormat="1" x14ac:dyDescent="0.35">
      <c r="A153" s="20"/>
      <c r="B153" s="21"/>
      <c r="C153" s="22" t="s">
        <v>206</v>
      </c>
      <c r="D153" s="21">
        <v>1</v>
      </c>
      <c r="E153" s="21"/>
      <c r="F153" s="21"/>
      <c r="G153" s="24"/>
      <c r="H153" s="24"/>
      <c r="I153" s="24"/>
      <c r="J153" s="24"/>
      <c r="K153" s="24"/>
      <c r="L153" s="24"/>
      <c r="M153" s="24"/>
      <c r="N153" s="172"/>
      <c r="O153" s="25"/>
      <c r="P153" s="20"/>
      <c r="Q153" s="25"/>
      <c r="R153" s="20"/>
      <c r="S153" s="20"/>
      <c r="T153" s="25"/>
      <c r="U153" s="20"/>
      <c r="V153" s="20"/>
      <c r="W153" s="25"/>
      <c r="X153" s="20"/>
      <c r="Y153" s="20"/>
      <c r="Z153" s="20"/>
      <c r="AA153" s="25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</row>
    <row r="154" spans="1:39" s="23" customFormat="1" x14ac:dyDescent="0.35">
      <c r="A154" s="20"/>
      <c r="B154" s="21"/>
      <c r="C154" s="27" t="s">
        <v>204</v>
      </c>
      <c r="D154" s="21">
        <v>1</v>
      </c>
      <c r="E154" s="21"/>
      <c r="F154" s="21"/>
      <c r="G154" s="24"/>
      <c r="H154" s="24"/>
      <c r="I154" s="24"/>
      <c r="J154" s="24"/>
      <c r="K154" s="24"/>
      <c r="L154" s="24"/>
      <c r="M154" s="24"/>
      <c r="N154" s="172"/>
      <c r="O154" s="25"/>
      <c r="P154" s="20"/>
      <c r="Q154" s="25"/>
      <c r="R154" s="20"/>
      <c r="S154" s="20"/>
      <c r="T154" s="25"/>
      <c r="U154" s="20"/>
      <c r="V154" s="20"/>
      <c r="W154" s="25"/>
      <c r="X154" s="20"/>
      <c r="Y154" s="20"/>
      <c r="Z154" s="20"/>
      <c r="AA154" s="25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</row>
    <row r="155" spans="1:39" s="23" customFormat="1" x14ac:dyDescent="0.35">
      <c r="A155" s="20"/>
      <c r="B155" s="21"/>
      <c r="C155" s="22" t="s">
        <v>208</v>
      </c>
      <c r="D155" s="21">
        <v>1</v>
      </c>
      <c r="E155" s="21"/>
      <c r="F155" s="21"/>
      <c r="G155" s="24"/>
      <c r="H155" s="24"/>
      <c r="I155" s="24"/>
      <c r="J155" s="24"/>
      <c r="K155" s="24"/>
      <c r="L155" s="24"/>
      <c r="M155" s="24"/>
      <c r="N155" s="172"/>
      <c r="O155" s="25"/>
      <c r="P155" s="20"/>
      <c r="Q155" s="25"/>
      <c r="R155" s="20"/>
      <c r="S155" s="20"/>
      <c r="T155" s="25"/>
      <c r="U155" s="20"/>
      <c r="V155" s="20"/>
      <c r="W155" s="25"/>
      <c r="X155" s="20"/>
      <c r="Y155" s="20"/>
      <c r="Z155" s="20"/>
      <c r="AA155" s="25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</row>
    <row r="156" spans="1:39" s="23" customFormat="1" x14ac:dyDescent="0.35">
      <c r="A156" s="20"/>
      <c r="B156" s="21"/>
      <c r="C156" s="26" t="s">
        <v>184</v>
      </c>
      <c r="D156" s="21">
        <v>1</v>
      </c>
      <c r="E156" s="21"/>
      <c r="F156" s="21"/>
      <c r="G156" s="24"/>
      <c r="H156" s="24"/>
      <c r="I156" s="24"/>
      <c r="J156" s="24"/>
      <c r="K156" s="24"/>
      <c r="L156" s="24"/>
      <c r="M156" s="24"/>
      <c r="N156" s="172"/>
      <c r="O156" s="25"/>
      <c r="P156" s="20"/>
      <c r="Q156" s="25"/>
      <c r="R156" s="20"/>
      <c r="S156" s="20"/>
      <c r="T156" s="25"/>
      <c r="U156" s="20"/>
      <c r="V156" s="20"/>
      <c r="W156" s="25"/>
      <c r="X156" s="20"/>
      <c r="Y156" s="20"/>
      <c r="Z156" s="20"/>
      <c r="AA156" s="25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</row>
    <row r="157" spans="1:39" s="23" customFormat="1" x14ac:dyDescent="0.35">
      <c r="A157" s="20"/>
      <c r="B157" s="21"/>
      <c r="C157" s="22" t="s">
        <v>241</v>
      </c>
      <c r="D157" s="21">
        <v>1</v>
      </c>
      <c r="E157" s="21"/>
      <c r="F157" s="21"/>
      <c r="G157" s="24"/>
      <c r="H157" s="24"/>
      <c r="I157" s="24"/>
      <c r="J157" s="24"/>
      <c r="K157" s="24"/>
      <c r="L157" s="24"/>
      <c r="M157" s="24"/>
      <c r="N157" s="172"/>
      <c r="O157" s="25"/>
      <c r="P157" s="20"/>
      <c r="Q157" s="25"/>
      <c r="R157" s="20"/>
      <c r="S157" s="20"/>
      <c r="T157" s="25"/>
      <c r="U157" s="20"/>
      <c r="V157" s="20"/>
      <c r="W157" s="25"/>
      <c r="X157" s="20"/>
      <c r="Y157" s="20"/>
      <c r="Z157" s="20"/>
      <c r="AA157" s="25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</row>
    <row r="158" spans="1:39" s="23" customFormat="1" x14ac:dyDescent="0.35">
      <c r="A158" s="20"/>
      <c r="B158" s="21"/>
      <c r="C158" s="22" t="s">
        <v>242</v>
      </c>
      <c r="D158" s="21">
        <v>2</v>
      </c>
      <c r="E158" s="21"/>
      <c r="F158" s="21"/>
      <c r="G158" s="24"/>
      <c r="H158" s="24"/>
      <c r="I158" s="24"/>
      <c r="J158" s="24"/>
      <c r="K158" s="24"/>
      <c r="L158" s="24"/>
      <c r="M158" s="24"/>
      <c r="N158" s="172"/>
      <c r="O158" s="25"/>
      <c r="P158" s="20"/>
      <c r="Q158" s="25"/>
      <c r="R158" s="20"/>
      <c r="S158" s="20"/>
      <c r="T158" s="25"/>
      <c r="U158" s="20"/>
      <c r="V158" s="20"/>
      <c r="W158" s="25"/>
      <c r="X158" s="20"/>
      <c r="Y158" s="20"/>
      <c r="Z158" s="20"/>
      <c r="AA158" s="25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</row>
    <row r="159" spans="1:39" s="23" customFormat="1" x14ac:dyDescent="0.35">
      <c r="A159" s="20"/>
      <c r="B159" s="21"/>
      <c r="C159" s="22" t="s">
        <v>211</v>
      </c>
      <c r="D159" s="21">
        <v>1</v>
      </c>
      <c r="E159" s="21"/>
      <c r="F159" s="21"/>
      <c r="G159" s="24"/>
      <c r="H159" s="24"/>
      <c r="I159" s="24"/>
      <c r="J159" s="24"/>
      <c r="K159" s="24"/>
      <c r="L159" s="24"/>
      <c r="M159" s="24"/>
      <c r="N159" s="172"/>
      <c r="O159" s="25"/>
      <c r="P159" s="20"/>
      <c r="Q159" s="25"/>
      <c r="R159" s="20"/>
      <c r="S159" s="20"/>
      <c r="T159" s="25"/>
      <c r="U159" s="20"/>
      <c r="V159" s="20"/>
      <c r="W159" s="25"/>
      <c r="X159" s="20"/>
      <c r="Y159" s="20"/>
      <c r="Z159" s="20"/>
      <c r="AA159" s="25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</row>
    <row r="160" spans="1:39" s="23" customFormat="1" x14ac:dyDescent="0.35">
      <c r="A160" s="20"/>
      <c r="B160" s="21"/>
      <c r="C160" s="26" t="s">
        <v>185</v>
      </c>
      <c r="D160" s="21">
        <v>1</v>
      </c>
      <c r="E160" s="21"/>
      <c r="F160" s="21"/>
      <c r="G160" s="24"/>
      <c r="H160" s="24"/>
      <c r="I160" s="24"/>
      <c r="J160" s="24"/>
      <c r="K160" s="24"/>
      <c r="L160" s="24"/>
      <c r="M160" s="24"/>
      <c r="N160" s="172"/>
      <c r="O160" s="25"/>
      <c r="P160" s="20"/>
      <c r="Q160" s="25"/>
      <c r="R160" s="20"/>
      <c r="S160" s="20"/>
      <c r="T160" s="25"/>
      <c r="U160" s="20"/>
      <c r="V160" s="20"/>
      <c r="W160" s="25"/>
      <c r="X160" s="20"/>
      <c r="Y160" s="20"/>
      <c r="Z160" s="20"/>
      <c r="AA160" s="25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</row>
    <row r="161" spans="1:41" s="23" customFormat="1" x14ac:dyDescent="0.35">
      <c r="A161" s="20"/>
      <c r="B161" s="21"/>
      <c r="C161" s="22" t="s">
        <v>12</v>
      </c>
      <c r="D161" s="21">
        <v>1</v>
      </c>
      <c r="E161" s="21"/>
      <c r="F161" s="21"/>
      <c r="G161" s="24"/>
      <c r="H161" s="24"/>
      <c r="I161" s="24"/>
      <c r="J161" s="24"/>
      <c r="K161" s="24"/>
      <c r="L161" s="24"/>
      <c r="M161" s="24"/>
      <c r="N161" s="172"/>
      <c r="O161" s="25"/>
      <c r="P161" s="20"/>
      <c r="Q161" s="25"/>
      <c r="R161" s="20"/>
      <c r="S161" s="20"/>
      <c r="T161" s="25"/>
      <c r="U161" s="20"/>
      <c r="V161" s="20"/>
      <c r="W161" s="25"/>
      <c r="X161" s="20"/>
      <c r="Y161" s="20"/>
      <c r="Z161" s="20"/>
      <c r="AA161" s="25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</row>
    <row r="162" spans="1:41" x14ac:dyDescent="0.35">
      <c r="A162" s="161">
        <v>44470</v>
      </c>
      <c r="B162" s="159"/>
      <c r="C162" s="38" t="s">
        <v>187</v>
      </c>
      <c r="D162" s="39" t="s">
        <v>13</v>
      </c>
      <c r="E162" s="38"/>
      <c r="F162" s="38" t="s">
        <v>182</v>
      </c>
      <c r="G162" s="40"/>
      <c r="I162" s="40"/>
      <c r="J162" s="40"/>
      <c r="K162" s="40"/>
      <c r="L162" s="40"/>
      <c r="M162" s="40"/>
      <c r="O162" s="158">
        <f t="shared" ref="O162:AM162" si="531">ROUND(($D$163*O99+$D$164*O96+$D$165*O106)*0.9,-1)</f>
        <v>4990</v>
      </c>
      <c r="P162" s="158">
        <f t="shared" si="531"/>
        <v>4990</v>
      </c>
      <c r="Q162" s="158">
        <f t="shared" si="531"/>
        <v>3530</v>
      </c>
      <c r="R162" s="158">
        <f t="shared" si="531"/>
        <v>3530</v>
      </c>
      <c r="S162" s="158">
        <f t="shared" si="531"/>
        <v>3530</v>
      </c>
      <c r="T162" s="158">
        <f t="shared" si="531"/>
        <v>2850</v>
      </c>
      <c r="U162" s="158">
        <f t="shared" si="531"/>
        <v>2850</v>
      </c>
      <c r="V162" s="158">
        <f t="shared" si="531"/>
        <v>2850</v>
      </c>
      <c r="W162" s="158">
        <f t="shared" si="531"/>
        <v>2430</v>
      </c>
      <c r="X162" s="158">
        <f t="shared" si="531"/>
        <v>2430</v>
      </c>
      <c r="Y162" s="158">
        <f t="shared" si="531"/>
        <v>2430</v>
      </c>
      <c r="Z162" s="158">
        <f t="shared" si="531"/>
        <v>2430</v>
      </c>
      <c r="AA162" s="158">
        <f t="shared" si="531"/>
        <v>2160</v>
      </c>
      <c r="AB162" s="158">
        <f t="shared" si="531"/>
        <v>2160</v>
      </c>
      <c r="AC162" s="158">
        <f t="shared" si="531"/>
        <v>2160</v>
      </c>
      <c r="AD162" s="158">
        <f t="shared" si="531"/>
        <v>2160</v>
      </c>
      <c r="AE162" s="158">
        <f t="shared" si="531"/>
        <v>2160</v>
      </c>
      <c r="AF162" s="158">
        <f t="shared" si="531"/>
        <v>2160</v>
      </c>
      <c r="AG162" s="158">
        <f t="shared" si="531"/>
        <v>2160</v>
      </c>
      <c r="AH162" s="158">
        <f t="shared" si="531"/>
        <v>2160</v>
      </c>
      <c r="AI162" s="158">
        <f t="shared" si="531"/>
        <v>2160</v>
      </c>
      <c r="AJ162" s="158">
        <f t="shared" si="531"/>
        <v>2160</v>
      </c>
      <c r="AK162" s="158">
        <f t="shared" si="531"/>
        <v>2160</v>
      </c>
      <c r="AL162" s="158">
        <f t="shared" si="531"/>
        <v>2160</v>
      </c>
      <c r="AM162" s="158">
        <f t="shared" si="531"/>
        <v>2160</v>
      </c>
    </row>
    <row r="163" spans="1:41" s="23" customFormat="1" x14ac:dyDescent="0.35">
      <c r="A163" s="20"/>
      <c r="B163" s="21"/>
      <c r="C163" s="22" t="s">
        <v>206</v>
      </c>
      <c r="D163" s="21">
        <v>1</v>
      </c>
      <c r="E163" s="21"/>
      <c r="F163" s="21"/>
      <c r="G163" s="24"/>
      <c r="H163" s="24"/>
      <c r="I163" s="24"/>
      <c r="J163" s="24"/>
      <c r="K163" s="24"/>
      <c r="L163" s="24"/>
      <c r="M163" s="24"/>
      <c r="N163" s="172"/>
      <c r="O163" s="25"/>
      <c r="P163" s="20"/>
      <c r="Q163" s="25"/>
      <c r="R163" s="20"/>
      <c r="S163" s="20"/>
      <c r="T163" s="25"/>
      <c r="U163" s="20"/>
      <c r="V163" s="20"/>
      <c r="W163" s="25"/>
      <c r="X163" s="20"/>
      <c r="Y163" s="20"/>
      <c r="Z163" s="20"/>
      <c r="AA163" s="25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</row>
    <row r="164" spans="1:41" s="23" customFormat="1" x14ac:dyDescent="0.35">
      <c r="A164" s="20"/>
      <c r="B164" s="21"/>
      <c r="C164" s="27" t="s">
        <v>204</v>
      </c>
      <c r="D164" s="21">
        <v>1</v>
      </c>
      <c r="E164" s="21"/>
      <c r="F164" s="21"/>
      <c r="G164" s="24"/>
      <c r="H164" s="24"/>
      <c r="I164" s="24"/>
      <c r="J164" s="24"/>
      <c r="K164" s="24"/>
      <c r="L164" s="24"/>
      <c r="M164" s="24"/>
      <c r="N164" s="172"/>
      <c r="O164" s="25"/>
      <c r="P164" s="20"/>
      <c r="Q164" s="25"/>
      <c r="R164" s="20"/>
      <c r="S164" s="20"/>
      <c r="T164" s="25"/>
      <c r="U164" s="20"/>
      <c r="V164" s="20"/>
      <c r="W164" s="25"/>
      <c r="X164" s="20"/>
      <c r="Y164" s="20"/>
      <c r="Z164" s="20"/>
      <c r="AA164" s="25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</row>
    <row r="165" spans="1:41" s="23" customFormat="1" x14ac:dyDescent="0.35">
      <c r="A165" s="20"/>
      <c r="B165" s="21"/>
      <c r="C165" s="22" t="s">
        <v>208</v>
      </c>
      <c r="D165" s="21">
        <v>1</v>
      </c>
      <c r="E165" s="21"/>
      <c r="F165" s="21"/>
      <c r="G165" s="24"/>
      <c r="H165" s="24"/>
      <c r="I165" s="24"/>
      <c r="J165" s="24"/>
      <c r="K165" s="24"/>
      <c r="L165" s="24"/>
      <c r="M165" s="24"/>
      <c r="N165" s="172"/>
      <c r="O165" s="25"/>
      <c r="P165" s="20"/>
      <c r="Q165" s="25"/>
      <c r="R165" s="20"/>
      <c r="S165" s="20"/>
      <c r="T165" s="25"/>
      <c r="U165" s="20"/>
      <c r="V165" s="20"/>
      <c r="W165" s="25"/>
      <c r="X165" s="20"/>
      <c r="Y165" s="20"/>
      <c r="Z165" s="20"/>
      <c r="AA165" s="25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</row>
    <row r="166" spans="1:41" s="23" customFormat="1" x14ac:dyDescent="0.35">
      <c r="A166" s="20"/>
      <c r="B166" s="21"/>
      <c r="C166" s="26" t="s">
        <v>184</v>
      </c>
      <c r="D166" s="21">
        <v>1</v>
      </c>
      <c r="E166" s="21"/>
      <c r="F166" s="21"/>
      <c r="G166" s="24"/>
      <c r="H166" s="24"/>
      <c r="I166" s="24"/>
      <c r="J166" s="24"/>
      <c r="K166" s="24"/>
      <c r="L166" s="24"/>
      <c r="M166" s="24"/>
      <c r="N166" s="172"/>
      <c r="O166" s="25"/>
      <c r="P166" s="20"/>
      <c r="Q166" s="25"/>
      <c r="R166" s="20"/>
      <c r="S166" s="20"/>
      <c r="T166" s="25"/>
      <c r="U166" s="20"/>
      <c r="V166" s="20"/>
      <c r="W166" s="25"/>
      <c r="X166" s="20"/>
      <c r="Y166" s="20"/>
      <c r="Z166" s="20"/>
      <c r="AA166" s="25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</row>
    <row r="167" spans="1:41" x14ac:dyDescent="0.35">
      <c r="A167" s="161">
        <v>44470</v>
      </c>
      <c r="B167" s="159"/>
      <c r="C167" s="38" t="s">
        <v>191</v>
      </c>
      <c r="D167" s="39" t="s">
        <v>13</v>
      </c>
      <c r="E167" s="38"/>
      <c r="F167" s="38" t="s">
        <v>182</v>
      </c>
      <c r="G167" s="40"/>
      <c r="I167" s="40"/>
      <c r="J167" s="40"/>
      <c r="K167" s="40"/>
      <c r="L167" s="40"/>
      <c r="M167" s="40"/>
      <c r="O167" s="41">
        <f>O191*0.75</f>
        <v>12502.5</v>
      </c>
      <c r="P167" s="41">
        <f t="shared" ref="P167:AM167" si="532">P191*0.75</f>
        <v>12502.5</v>
      </c>
      <c r="Q167" s="41">
        <f t="shared" si="532"/>
        <v>8332.5</v>
      </c>
      <c r="R167" s="41">
        <f t="shared" si="532"/>
        <v>8332.5</v>
      </c>
      <c r="S167" s="41">
        <f t="shared" si="532"/>
        <v>8332.5</v>
      </c>
      <c r="T167" s="41">
        <f t="shared" si="532"/>
        <v>6817.5</v>
      </c>
      <c r="U167" s="41">
        <f t="shared" si="532"/>
        <v>6817.5</v>
      </c>
      <c r="V167" s="41">
        <f t="shared" si="532"/>
        <v>6817.5</v>
      </c>
      <c r="W167" s="41">
        <f t="shared" si="532"/>
        <v>5767.5</v>
      </c>
      <c r="X167" s="41">
        <f t="shared" si="532"/>
        <v>5767.5</v>
      </c>
      <c r="Y167" s="41">
        <f t="shared" si="532"/>
        <v>5767.5</v>
      </c>
      <c r="Z167" s="41">
        <f t="shared" si="532"/>
        <v>5767.5</v>
      </c>
      <c r="AA167" s="41">
        <f t="shared" si="532"/>
        <v>5002.5</v>
      </c>
      <c r="AB167" s="41">
        <f t="shared" si="532"/>
        <v>5002.5</v>
      </c>
      <c r="AC167" s="41">
        <f t="shared" si="532"/>
        <v>5002.5</v>
      </c>
      <c r="AD167" s="41">
        <f t="shared" si="532"/>
        <v>5002.5</v>
      </c>
      <c r="AE167" s="41">
        <f t="shared" si="532"/>
        <v>5002.5</v>
      </c>
      <c r="AF167" s="41">
        <f t="shared" si="532"/>
        <v>5002.5</v>
      </c>
      <c r="AG167" s="41">
        <f t="shared" si="532"/>
        <v>5002.5</v>
      </c>
      <c r="AH167" s="41">
        <f t="shared" si="532"/>
        <v>5002.5</v>
      </c>
      <c r="AI167" s="41">
        <f t="shared" si="532"/>
        <v>5002.5</v>
      </c>
      <c r="AJ167" s="41">
        <f t="shared" si="532"/>
        <v>5002.5</v>
      </c>
      <c r="AK167" s="41">
        <f t="shared" si="532"/>
        <v>5002.5</v>
      </c>
      <c r="AL167" s="41">
        <f t="shared" si="532"/>
        <v>5002.5</v>
      </c>
      <c r="AM167" s="41">
        <f t="shared" si="532"/>
        <v>5002.5</v>
      </c>
    </row>
    <row r="168" spans="1:41" x14ac:dyDescent="0.35">
      <c r="B168" s="3"/>
      <c r="C168" s="47" t="s">
        <v>322</v>
      </c>
      <c r="D168" s="3">
        <v>1</v>
      </c>
      <c r="E168" s="3"/>
      <c r="F168" s="3"/>
    </row>
    <row r="169" spans="1:41" x14ac:dyDescent="0.35">
      <c r="A169" s="161">
        <v>44470</v>
      </c>
      <c r="B169" s="159"/>
      <c r="C169" s="38" t="s">
        <v>192</v>
      </c>
      <c r="D169" s="39" t="s">
        <v>13</v>
      </c>
      <c r="E169" s="38"/>
      <c r="F169" s="38" t="s">
        <v>182</v>
      </c>
      <c r="G169" s="40"/>
      <c r="I169" s="40"/>
      <c r="J169" s="40"/>
      <c r="K169" s="40"/>
      <c r="L169" s="40"/>
      <c r="M169" s="40"/>
      <c r="O169" s="48">
        <v>1190</v>
      </c>
      <c r="P169" s="48">
        <v>1190</v>
      </c>
      <c r="Q169" s="48">
        <v>1190</v>
      </c>
      <c r="R169" s="48">
        <v>1190</v>
      </c>
      <c r="S169" s="48">
        <v>1190</v>
      </c>
      <c r="T169" s="48">
        <v>1190</v>
      </c>
      <c r="U169" s="48">
        <v>1190</v>
      </c>
      <c r="V169" s="48">
        <v>1190</v>
      </c>
      <c r="W169" s="48">
        <v>1190</v>
      </c>
      <c r="X169" s="48">
        <v>1190</v>
      </c>
      <c r="Y169" s="48">
        <v>1190</v>
      </c>
      <c r="Z169" s="48">
        <v>1190</v>
      </c>
      <c r="AA169" s="48">
        <v>1190</v>
      </c>
      <c r="AB169" s="48">
        <v>1190</v>
      </c>
      <c r="AC169" s="48">
        <v>1190</v>
      </c>
      <c r="AD169" s="48">
        <v>1190</v>
      </c>
      <c r="AE169" s="48">
        <v>1190</v>
      </c>
      <c r="AF169" s="48">
        <v>1190</v>
      </c>
      <c r="AG169" s="48">
        <v>1190</v>
      </c>
      <c r="AH169" s="48">
        <v>1190</v>
      </c>
      <c r="AI169" s="48">
        <v>1190</v>
      </c>
      <c r="AJ169" s="48">
        <v>1190</v>
      </c>
      <c r="AK169" s="48">
        <v>1190</v>
      </c>
      <c r="AL169" s="48">
        <v>1190</v>
      </c>
      <c r="AM169" s="48">
        <v>1190</v>
      </c>
    </row>
    <row r="170" spans="1:41" x14ac:dyDescent="0.35">
      <c r="B170" s="3"/>
      <c r="C170" s="47" t="s">
        <v>193</v>
      </c>
      <c r="D170" s="3" t="s">
        <v>198</v>
      </c>
      <c r="E170" s="3"/>
      <c r="F170" s="3"/>
    </row>
    <row r="171" spans="1:41" x14ac:dyDescent="0.35">
      <c r="B171" s="3"/>
      <c r="C171" s="47" t="s">
        <v>195</v>
      </c>
      <c r="D171" s="3" t="s">
        <v>199</v>
      </c>
      <c r="E171" s="3"/>
      <c r="F171" s="3"/>
    </row>
    <row r="172" spans="1:41" x14ac:dyDescent="0.35">
      <c r="B172" s="3"/>
      <c r="C172" s="47" t="s">
        <v>196</v>
      </c>
      <c r="D172" s="3" t="s">
        <v>200</v>
      </c>
      <c r="E172" s="3"/>
      <c r="F172" s="3"/>
    </row>
    <row r="173" spans="1:41" x14ac:dyDescent="0.35">
      <c r="B173" s="3"/>
      <c r="C173" s="47" t="s">
        <v>184</v>
      </c>
      <c r="D173" s="3" t="s">
        <v>201</v>
      </c>
      <c r="E173" s="3"/>
      <c r="F173" s="3"/>
    </row>
    <row r="174" spans="1:41" x14ac:dyDescent="0.35">
      <c r="B174" s="3"/>
      <c r="C174" s="47" t="s">
        <v>194</v>
      </c>
      <c r="D174" s="3" t="s">
        <v>201</v>
      </c>
      <c r="E174" s="3"/>
      <c r="F174" s="3"/>
    </row>
    <row r="175" spans="1:41" x14ac:dyDescent="0.35">
      <c r="A175" s="161">
        <v>44470</v>
      </c>
      <c r="B175" s="159"/>
      <c r="C175" s="38" t="s">
        <v>197</v>
      </c>
      <c r="D175" s="39" t="s">
        <v>13</v>
      </c>
      <c r="E175" s="38"/>
      <c r="F175" s="38" t="s">
        <v>182</v>
      </c>
      <c r="G175" s="40"/>
      <c r="I175" s="40"/>
      <c r="J175" s="40"/>
      <c r="K175" s="40"/>
      <c r="L175" s="40"/>
      <c r="M175" s="40"/>
      <c r="O175" s="41">
        <f t="shared" ref="O175:AM175" si="533">ROUND(($D$176*O91)*0.9,-1)</f>
        <v>5850</v>
      </c>
      <c r="P175" s="41">
        <f t="shared" si="533"/>
        <v>5850</v>
      </c>
      <c r="Q175" s="41">
        <f t="shared" si="533"/>
        <v>3920</v>
      </c>
      <c r="R175" s="41">
        <f t="shared" si="533"/>
        <v>3920</v>
      </c>
      <c r="S175" s="41">
        <f t="shared" si="533"/>
        <v>3920</v>
      </c>
      <c r="T175" s="41">
        <f t="shared" si="533"/>
        <v>3200</v>
      </c>
      <c r="U175" s="41">
        <f t="shared" si="533"/>
        <v>3200</v>
      </c>
      <c r="V175" s="41">
        <f t="shared" si="533"/>
        <v>3200</v>
      </c>
      <c r="W175" s="41">
        <f t="shared" si="533"/>
        <v>2700</v>
      </c>
      <c r="X175" s="41">
        <f t="shared" si="533"/>
        <v>2700</v>
      </c>
      <c r="Y175" s="41">
        <f t="shared" si="533"/>
        <v>2700</v>
      </c>
      <c r="Z175" s="41">
        <f t="shared" si="533"/>
        <v>2700</v>
      </c>
      <c r="AA175" s="41">
        <f t="shared" si="533"/>
        <v>2340</v>
      </c>
      <c r="AB175" s="41">
        <f t="shared" si="533"/>
        <v>2340</v>
      </c>
      <c r="AC175" s="41">
        <f t="shared" si="533"/>
        <v>2340</v>
      </c>
      <c r="AD175" s="41">
        <f t="shared" si="533"/>
        <v>2340</v>
      </c>
      <c r="AE175" s="41">
        <f t="shared" si="533"/>
        <v>2340</v>
      </c>
      <c r="AF175" s="41">
        <f t="shared" si="533"/>
        <v>2340</v>
      </c>
      <c r="AG175" s="41">
        <f t="shared" si="533"/>
        <v>2340</v>
      </c>
      <c r="AH175" s="41">
        <f t="shared" si="533"/>
        <v>2340</v>
      </c>
      <c r="AI175" s="41">
        <f t="shared" si="533"/>
        <v>2340</v>
      </c>
      <c r="AJ175" s="41">
        <f t="shared" si="533"/>
        <v>2340</v>
      </c>
      <c r="AK175" s="41">
        <f t="shared" si="533"/>
        <v>2340</v>
      </c>
      <c r="AL175" s="41">
        <f t="shared" si="533"/>
        <v>2340</v>
      </c>
      <c r="AM175" s="41">
        <f t="shared" si="533"/>
        <v>2340</v>
      </c>
      <c r="AN175" s="50"/>
      <c r="AO175" s="50"/>
    </row>
    <row r="176" spans="1:41" x14ac:dyDescent="0.35">
      <c r="B176" s="3"/>
      <c r="C176" s="2" t="s">
        <v>127</v>
      </c>
      <c r="D176" s="3">
        <v>5</v>
      </c>
      <c r="E176" s="3"/>
      <c r="F176" s="3"/>
    </row>
    <row r="177" spans="1:39" x14ac:dyDescent="0.35">
      <c r="A177" s="161">
        <v>44470</v>
      </c>
      <c r="B177" s="159"/>
      <c r="C177" s="38" t="s">
        <v>202</v>
      </c>
      <c r="D177" s="39" t="s">
        <v>13</v>
      </c>
      <c r="E177" s="38"/>
      <c r="F177" s="38" t="s">
        <v>182</v>
      </c>
      <c r="G177" s="40"/>
      <c r="I177" s="40"/>
      <c r="J177" s="40"/>
      <c r="K177" s="40"/>
      <c r="L177" s="40"/>
      <c r="M177" s="40"/>
      <c r="O177" s="41">
        <f t="shared" ref="O177:AM177" si="534">ROUND(($D$178*O107+$D$179*O98+$D$180*O101)*0.9,-1)</f>
        <v>17930</v>
      </c>
      <c r="P177" s="41">
        <f t="shared" si="534"/>
        <v>17930</v>
      </c>
      <c r="Q177" s="41">
        <f t="shared" si="534"/>
        <v>11960</v>
      </c>
      <c r="R177" s="41">
        <f t="shared" si="534"/>
        <v>11960</v>
      </c>
      <c r="S177" s="41">
        <f t="shared" si="534"/>
        <v>11960</v>
      </c>
      <c r="T177" s="41">
        <f t="shared" si="534"/>
        <v>8050</v>
      </c>
      <c r="U177" s="41">
        <f t="shared" si="534"/>
        <v>8050</v>
      </c>
      <c r="V177" s="41">
        <f t="shared" si="534"/>
        <v>8050</v>
      </c>
      <c r="W177" s="41">
        <f t="shared" si="534"/>
        <v>6950</v>
      </c>
      <c r="X177" s="41">
        <f t="shared" si="534"/>
        <v>6950</v>
      </c>
      <c r="Y177" s="41">
        <f t="shared" si="534"/>
        <v>6950</v>
      </c>
      <c r="Z177" s="41">
        <f t="shared" si="534"/>
        <v>6950</v>
      </c>
      <c r="AA177" s="41">
        <f t="shared" si="534"/>
        <v>6150</v>
      </c>
      <c r="AB177" s="41">
        <f t="shared" si="534"/>
        <v>6150</v>
      </c>
      <c r="AC177" s="41">
        <f t="shared" si="534"/>
        <v>6150</v>
      </c>
      <c r="AD177" s="41">
        <f t="shared" si="534"/>
        <v>6150</v>
      </c>
      <c r="AE177" s="41">
        <f t="shared" si="534"/>
        <v>6150</v>
      </c>
      <c r="AF177" s="41">
        <f t="shared" si="534"/>
        <v>6150</v>
      </c>
      <c r="AG177" s="41">
        <f t="shared" si="534"/>
        <v>6150</v>
      </c>
      <c r="AH177" s="41">
        <f t="shared" si="534"/>
        <v>6150</v>
      </c>
      <c r="AI177" s="41">
        <f t="shared" si="534"/>
        <v>6150</v>
      </c>
      <c r="AJ177" s="41">
        <f t="shared" si="534"/>
        <v>6150</v>
      </c>
      <c r="AK177" s="41">
        <f t="shared" si="534"/>
        <v>6150</v>
      </c>
      <c r="AL177" s="41">
        <f t="shared" si="534"/>
        <v>6150</v>
      </c>
      <c r="AM177" s="41">
        <f t="shared" si="534"/>
        <v>6150</v>
      </c>
    </row>
    <row r="178" spans="1:39" s="23" customFormat="1" x14ac:dyDescent="0.35">
      <c r="A178" s="20"/>
      <c r="B178" s="21"/>
      <c r="C178" s="49" t="s">
        <v>209</v>
      </c>
      <c r="D178" s="21">
        <v>5</v>
      </c>
      <c r="E178" s="21"/>
      <c r="F178" s="21"/>
      <c r="G178" s="24"/>
      <c r="H178" s="24"/>
      <c r="I178" s="24"/>
      <c r="J178" s="24"/>
      <c r="K178" s="24"/>
      <c r="L178" s="24"/>
      <c r="M178" s="24"/>
      <c r="N178" s="172"/>
      <c r="O178" s="25"/>
      <c r="P178" s="20"/>
      <c r="Q178" s="25"/>
      <c r="R178" s="20"/>
      <c r="S178" s="20"/>
      <c r="T178" s="25"/>
      <c r="U178" s="20"/>
      <c r="V178" s="20"/>
      <c r="W178" s="25"/>
      <c r="X178" s="20"/>
      <c r="Y178" s="20"/>
      <c r="Z178" s="20"/>
      <c r="AA178" s="25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</row>
    <row r="179" spans="1:39" s="23" customFormat="1" x14ac:dyDescent="0.35">
      <c r="A179" s="20"/>
      <c r="B179" s="21"/>
      <c r="C179" s="49" t="s">
        <v>241</v>
      </c>
      <c r="D179" s="21">
        <v>2</v>
      </c>
      <c r="E179" s="21"/>
      <c r="F179" s="21"/>
      <c r="G179" s="24"/>
      <c r="H179" s="24"/>
      <c r="I179" s="24"/>
      <c r="J179" s="24"/>
      <c r="K179" s="24"/>
      <c r="L179" s="24"/>
      <c r="M179" s="24"/>
      <c r="N179" s="172"/>
      <c r="O179" s="25"/>
      <c r="P179" s="20"/>
      <c r="Q179" s="25"/>
      <c r="R179" s="20"/>
      <c r="S179" s="20"/>
      <c r="T179" s="25"/>
      <c r="U179" s="20"/>
      <c r="V179" s="20"/>
      <c r="W179" s="25"/>
      <c r="X179" s="20"/>
      <c r="Y179" s="20"/>
      <c r="Z179" s="20"/>
      <c r="AA179" s="25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</row>
    <row r="180" spans="1:39" s="23" customFormat="1" x14ac:dyDescent="0.35">
      <c r="A180" s="20"/>
      <c r="B180" s="21"/>
      <c r="C180" s="22" t="s">
        <v>301</v>
      </c>
      <c r="D180" s="21">
        <v>4</v>
      </c>
      <c r="E180" s="21"/>
      <c r="F180" s="21"/>
      <c r="G180" s="24"/>
      <c r="H180" s="24"/>
      <c r="I180" s="24"/>
      <c r="J180" s="24"/>
      <c r="K180" s="24"/>
      <c r="L180" s="24"/>
      <c r="M180" s="24"/>
      <c r="N180" s="172"/>
      <c r="O180" s="25"/>
      <c r="P180" s="20"/>
      <c r="Q180" s="25"/>
      <c r="R180" s="20"/>
      <c r="S180" s="20"/>
      <c r="T180" s="25"/>
      <c r="U180" s="20"/>
      <c r="V180" s="20"/>
      <c r="W180" s="25"/>
      <c r="X180" s="20"/>
      <c r="Y180" s="20"/>
      <c r="Z180" s="20"/>
      <c r="AA180" s="25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</row>
    <row r="181" spans="1:39" s="23" customFormat="1" x14ac:dyDescent="0.35">
      <c r="A181" s="20"/>
      <c r="B181" s="21"/>
      <c r="C181" s="26" t="s">
        <v>184</v>
      </c>
      <c r="D181" s="21">
        <v>1</v>
      </c>
      <c r="E181" s="21"/>
      <c r="F181" s="21"/>
      <c r="G181" s="24"/>
      <c r="H181" s="24"/>
      <c r="I181" s="24"/>
      <c r="J181" s="24"/>
      <c r="K181" s="24"/>
      <c r="L181" s="24"/>
      <c r="M181" s="24"/>
      <c r="N181" s="172"/>
      <c r="O181" s="25"/>
      <c r="P181" s="20"/>
      <c r="Q181" s="25"/>
      <c r="R181" s="20"/>
      <c r="S181" s="20"/>
      <c r="T181" s="25"/>
      <c r="U181" s="20"/>
      <c r="V181" s="20"/>
      <c r="W181" s="25"/>
      <c r="X181" s="20"/>
      <c r="Y181" s="20"/>
      <c r="Z181" s="20"/>
      <c r="AA181" s="25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</row>
    <row r="182" spans="1:39" x14ac:dyDescent="0.35">
      <c r="A182" s="161">
        <v>44470</v>
      </c>
      <c r="B182" s="159"/>
      <c r="C182" s="38" t="s">
        <v>316</v>
      </c>
      <c r="D182" s="39" t="s">
        <v>13</v>
      </c>
      <c r="E182" s="38"/>
      <c r="F182" s="38" t="s">
        <v>182</v>
      </c>
      <c r="G182" s="40"/>
      <c r="I182" s="40"/>
      <c r="J182" s="40"/>
      <c r="K182" s="40"/>
      <c r="L182" s="40"/>
      <c r="M182" s="40"/>
      <c r="O182" s="41">
        <f t="shared" ref="O182:AM182" si="535">ROUND(($D$183*O46+$D$184*O98+$D$185*O101+$D$186*O107+$D$188*O84)*0.9,-1)</f>
        <v>12380</v>
      </c>
      <c r="P182" s="41">
        <f t="shared" si="535"/>
        <v>12380</v>
      </c>
      <c r="Q182" s="41">
        <f t="shared" si="535"/>
        <v>8240</v>
      </c>
      <c r="R182" s="41">
        <f t="shared" si="535"/>
        <v>8240</v>
      </c>
      <c r="S182" s="41">
        <f t="shared" si="535"/>
        <v>8240</v>
      </c>
      <c r="T182" s="41">
        <f t="shared" si="535"/>
        <v>6050</v>
      </c>
      <c r="U182" s="41">
        <f t="shared" si="535"/>
        <v>6050</v>
      </c>
      <c r="V182" s="41">
        <f t="shared" si="535"/>
        <v>6050</v>
      </c>
      <c r="W182" s="41">
        <f t="shared" si="535"/>
        <v>5180</v>
      </c>
      <c r="X182" s="41">
        <f t="shared" si="535"/>
        <v>5180</v>
      </c>
      <c r="Y182" s="41">
        <f t="shared" si="535"/>
        <v>5180</v>
      </c>
      <c r="Z182" s="41">
        <f t="shared" si="535"/>
        <v>5180</v>
      </c>
      <c r="AA182" s="41">
        <f t="shared" si="535"/>
        <v>4550</v>
      </c>
      <c r="AB182" s="41">
        <f t="shared" si="535"/>
        <v>4550</v>
      </c>
      <c r="AC182" s="41">
        <f t="shared" si="535"/>
        <v>4550</v>
      </c>
      <c r="AD182" s="41">
        <f t="shared" si="535"/>
        <v>4550</v>
      </c>
      <c r="AE182" s="41">
        <f t="shared" si="535"/>
        <v>4550</v>
      </c>
      <c r="AF182" s="41">
        <f t="shared" si="535"/>
        <v>4550</v>
      </c>
      <c r="AG182" s="41">
        <f t="shared" si="535"/>
        <v>4550</v>
      </c>
      <c r="AH182" s="41">
        <f t="shared" si="535"/>
        <v>4550</v>
      </c>
      <c r="AI182" s="41">
        <f t="shared" si="535"/>
        <v>4550</v>
      </c>
      <c r="AJ182" s="41">
        <f t="shared" si="535"/>
        <v>4550</v>
      </c>
      <c r="AK182" s="41">
        <f t="shared" si="535"/>
        <v>4550</v>
      </c>
      <c r="AL182" s="41">
        <f t="shared" si="535"/>
        <v>4550</v>
      </c>
      <c r="AM182" s="41">
        <f t="shared" si="535"/>
        <v>4550</v>
      </c>
    </row>
    <row r="183" spans="1:39" s="23" customFormat="1" x14ac:dyDescent="0.35">
      <c r="A183" s="20"/>
      <c r="B183" s="146"/>
      <c r="C183" s="22" t="str">
        <f>C46</f>
        <v xml:space="preserve">Кровать металлическая двухъярусная </v>
      </c>
      <c r="D183" s="21">
        <v>2</v>
      </c>
      <c r="E183" s="21"/>
      <c r="F183" s="21"/>
      <c r="G183" s="24"/>
      <c r="H183" s="24"/>
      <c r="I183" s="24"/>
      <c r="J183" s="24"/>
      <c r="K183" s="24"/>
      <c r="L183" s="24"/>
      <c r="M183" s="24"/>
      <c r="N183" s="172"/>
      <c r="O183" s="25"/>
      <c r="P183" s="20"/>
      <c r="Q183" s="25"/>
      <c r="R183" s="20"/>
      <c r="S183" s="20"/>
      <c r="T183" s="25"/>
      <c r="U183" s="20"/>
      <c r="V183" s="20"/>
      <c r="W183" s="25"/>
      <c r="X183" s="20"/>
      <c r="Y183" s="20"/>
      <c r="Z183" s="20"/>
      <c r="AA183" s="25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</row>
    <row r="184" spans="1:39" s="23" customFormat="1" x14ac:dyDescent="0.35">
      <c r="A184" s="20"/>
      <c r="B184" s="146"/>
      <c r="C184" s="22" t="str">
        <f>C98</f>
        <v>T3- Стол 120 х 60 см</v>
      </c>
      <c r="D184" s="21">
        <v>1</v>
      </c>
      <c r="E184" s="21"/>
      <c r="F184" s="21"/>
      <c r="G184" s="24"/>
      <c r="H184" s="24"/>
      <c r="I184" s="24"/>
      <c r="J184" s="24"/>
      <c r="K184" s="24"/>
      <c r="L184" s="24"/>
      <c r="M184" s="24"/>
      <c r="N184" s="172"/>
      <c r="O184" s="25"/>
      <c r="P184" s="20"/>
      <c r="Q184" s="25"/>
      <c r="R184" s="20"/>
      <c r="S184" s="20"/>
      <c r="T184" s="25"/>
      <c r="U184" s="20"/>
      <c r="V184" s="20"/>
      <c r="W184" s="25"/>
      <c r="X184" s="20"/>
      <c r="Y184" s="20"/>
      <c r="Z184" s="20"/>
      <c r="AA184" s="25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</row>
    <row r="185" spans="1:39" s="23" customFormat="1" x14ac:dyDescent="0.35">
      <c r="A185" s="20"/>
      <c r="B185" s="146"/>
      <c r="C185" s="22" t="s">
        <v>302</v>
      </c>
      <c r="D185" s="21">
        <v>2</v>
      </c>
      <c r="E185" s="21"/>
      <c r="F185" s="21"/>
      <c r="G185" s="24"/>
      <c r="H185" s="24"/>
      <c r="I185" s="24"/>
      <c r="J185" s="24"/>
      <c r="K185" s="24"/>
      <c r="L185" s="24"/>
      <c r="M185" s="24"/>
      <c r="N185" s="172"/>
      <c r="O185" s="25"/>
      <c r="P185" s="20"/>
      <c r="Q185" s="25"/>
      <c r="R185" s="20"/>
      <c r="S185" s="20"/>
      <c r="T185" s="25"/>
      <c r="U185" s="20"/>
      <c r="V185" s="20"/>
      <c r="W185" s="25"/>
      <c r="X185" s="20"/>
      <c r="Y185" s="20"/>
      <c r="Z185" s="20"/>
      <c r="AA185" s="25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</row>
    <row r="186" spans="1:39" s="23" customFormat="1" x14ac:dyDescent="0.35">
      <c r="A186" s="20"/>
      <c r="B186" s="146"/>
      <c r="C186" s="22" t="str">
        <f>C107</f>
        <v>T3 - Шкаф д/одежды двухстворчатый 1750х800х500 мм</v>
      </c>
      <c r="D186" s="23">
        <v>2</v>
      </c>
      <c r="E186" s="21"/>
      <c r="F186" s="21"/>
      <c r="G186" s="24"/>
      <c r="H186" s="24"/>
      <c r="I186" s="24"/>
      <c r="J186" s="24"/>
      <c r="K186" s="24"/>
      <c r="L186" s="24"/>
      <c r="M186" s="24"/>
      <c r="N186" s="172"/>
      <c r="O186" s="25"/>
      <c r="P186" s="20"/>
      <c r="Q186" s="25"/>
      <c r="R186" s="20"/>
      <c r="S186" s="20"/>
      <c r="T186" s="25"/>
      <c r="U186" s="20"/>
      <c r="V186" s="20"/>
      <c r="W186" s="25"/>
      <c r="X186" s="20"/>
      <c r="Y186" s="20"/>
      <c r="Z186" s="20"/>
      <c r="AA186" s="25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</row>
    <row r="187" spans="1:39" s="23" customFormat="1" x14ac:dyDescent="0.35">
      <c r="A187" s="20"/>
      <c r="B187" s="146"/>
      <c r="C187" s="26" t="s">
        <v>184</v>
      </c>
      <c r="D187" s="21">
        <v>1</v>
      </c>
      <c r="E187" s="21"/>
      <c r="F187" s="21"/>
      <c r="G187" s="24"/>
      <c r="H187" s="24"/>
      <c r="I187" s="24"/>
      <c r="J187" s="24"/>
      <c r="K187" s="24"/>
      <c r="L187" s="24"/>
      <c r="M187" s="24"/>
      <c r="N187" s="172"/>
      <c r="O187" s="25"/>
      <c r="P187" s="20"/>
      <c r="Q187" s="25"/>
      <c r="R187" s="20"/>
      <c r="S187" s="20"/>
      <c r="T187" s="25"/>
      <c r="U187" s="20"/>
      <c r="V187" s="20"/>
      <c r="W187" s="25"/>
      <c r="X187" s="20"/>
      <c r="Y187" s="20"/>
      <c r="Z187" s="20"/>
      <c r="AA187" s="25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</row>
    <row r="188" spans="1:39" x14ac:dyDescent="0.35">
      <c r="B188" s="146"/>
      <c r="C188" s="22" t="s">
        <v>12</v>
      </c>
      <c r="D188" s="21">
        <v>1</v>
      </c>
    </row>
    <row r="189" spans="1:39" x14ac:dyDescent="0.35">
      <c r="B189" s="3"/>
      <c r="C189" s="3"/>
      <c r="D189" s="3"/>
      <c r="E189" s="3"/>
      <c r="F189" s="3"/>
    </row>
    <row r="190" spans="1:39" x14ac:dyDescent="0.35">
      <c r="B190" s="3"/>
      <c r="C190" s="3"/>
      <c r="D190" s="3"/>
      <c r="E190" s="3"/>
      <c r="F190" s="3"/>
    </row>
    <row r="191" spans="1:39" x14ac:dyDescent="0.35">
      <c r="B191" s="1">
        <v>15</v>
      </c>
      <c r="C191" s="12" t="s">
        <v>261</v>
      </c>
      <c r="D191" s="2" t="s">
        <v>13</v>
      </c>
      <c r="E191" s="2" t="s">
        <v>86</v>
      </c>
      <c r="F191" s="2" t="s">
        <v>169</v>
      </c>
      <c r="G191" s="6">
        <v>63600</v>
      </c>
      <c r="H191" s="6">
        <v>52500</v>
      </c>
      <c r="I191" s="6">
        <v>63600</v>
      </c>
      <c r="J191" s="6">
        <v>79500</v>
      </c>
      <c r="K191" s="155">
        <v>79500</v>
      </c>
      <c r="L191" s="155">
        <v>100000</v>
      </c>
      <c r="M191" s="155">
        <v>100000</v>
      </c>
      <c r="O191" s="18">
        <f>ROUND(M191/6,-1)</f>
        <v>16670</v>
      </c>
      <c r="P191" s="14">
        <f t="shared" ref="P191:P201" si="536">O191</f>
        <v>16670</v>
      </c>
      <c r="Q191" s="18">
        <f>ROUND(M191/9,-1)</f>
        <v>11110</v>
      </c>
      <c r="R191" s="14">
        <f>Q191</f>
        <v>11110</v>
      </c>
      <c r="S191" s="14">
        <f>Q191</f>
        <v>11110</v>
      </c>
      <c r="T191" s="18">
        <f>ROUND(M191/11,-1)</f>
        <v>9090</v>
      </c>
      <c r="U191" s="14">
        <f>T191</f>
        <v>9090</v>
      </c>
      <c r="V191" s="14">
        <f>T191</f>
        <v>9090</v>
      </c>
      <c r="W191" s="18">
        <f>ROUND(M191/13,-1)</f>
        <v>7690</v>
      </c>
      <c r="X191" s="14">
        <f>W191</f>
        <v>7690</v>
      </c>
      <c r="Y191" s="14">
        <f>W191</f>
        <v>7690</v>
      </c>
      <c r="Z191" s="14">
        <f>W191</f>
        <v>7690</v>
      </c>
      <c r="AA191" s="18">
        <f>ROUND(M191/15,-1)</f>
        <v>6670</v>
      </c>
      <c r="AB191" s="14">
        <f t="shared" ref="AB191:AM191" si="537">AA191</f>
        <v>6670</v>
      </c>
      <c r="AC191" s="14">
        <f t="shared" si="537"/>
        <v>6670</v>
      </c>
      <c r="AD191" s="14">
        <f t="shared" si="537"/>
        <v>6670</v>
      </c>
      <c r="AE191" s="14">
        <f t="shared" si="537"/>
        <v>6670</v>
      </c>
      <c r="AF191" s="14">
        <f t="shared" si="537"/>
        <v>6670</v>
      </c>
      <c r="AG191" s="14">
        <f t="shared" si="537"/>
        <v>6670</v>
      </c>
      <c r="AH191" s="14">
        <f t="shared" si="537"/>
        <v>6670</v>
      </c>
      <c r="AI191" s="14">
        <f t="shared" si="537"/>
        <v>6670</v>
      </c>
      <c r="AJ191" s="14">
        <f t="shared" si="537"/>
        <v>6670</v>
      </c>
      <c r="AK191" s="14">
        <f t="shared" si="537"/>
        <v>6670</v>
      </c>
      <c r="AL191" s="14">
        <f t="shared" si="537"/>
        <v>6670</v>
      </c>
      <c r="AM191" s="14">
        <f t="shared" si="537"/>
        <v>6670</v>
      </c>
    </row>
    <row r="192" spans="1:39" x14ac:dyDescent="0.35">
      <c r="B192" s="1">
        <v>15</v>
      </c>
      <c r="C192" s="46" t="s">
        <v>261</v>
      </c>
      <c r="D192" s="2" t="s">
        <v>13</v>
      </c>
      <c r="E192" s="2" t="s">
        <v>86</v>
      </c>
      <c r="F192" s="2" t="s">
        <v>169</v>
      </c>
      <c r="G192" s="6">
        <v>63600</v>
      </c>
      <c r="I192" s="6">
        <v>63600</v>
      </c>
      <c r="J192" s="6">
        <v>79500</v>
      </c>
      <c r="K192" s="155"/>
      <c r="L192" s="155">
        <f>H192*1.25</f>
        <v>0</v>
      </c>
      <c r="M192" s="155">
        <f>I192*1.25</f>
        <v>79500</v>
      </c>
      <c r="O192" s="18">
        <f>ROUND(M192/6,-1)</f>
        <v>13250</v>
      </c>
      <c r="P192" s="14">
        <f t="shared" si="536"/>
        <v>13250</v>
      </c>
      <c r="Q192" s="18">
        <f>ROUND(M192/9,-1)</f>
        <v>8830</v>
      </c>
      <c r="R192" s="14">
        <f>Q192</f>
        <v>8830</v>
      </c>
      <c r="S192" s="14">
        <f>Q192</f>
        <v>8830</v>
      </c>
      <c r="T192" s="18">
        <f>ROUND(M192/11,-1)</f>
        <v>7230</v>
      </c>
      <c r="U192" s="14">
        <f>T192</f>
        <v>7230</v>
      </c>
      <c r="V192" s="14">
        <f>T192</f>
        <v>7230</v>
      </c>
      <c r="W192" s="18">
        <f>ROUND(M192/13,-1)</f>
        <v>6120</v>
      </c>
      <c r="X192" s="14">
        <f>W192</f>
        <v>6120</v>
      </c>
      <c r="Y192" s="14">
        <f>W192</f>
        <v>6120</v>
      </c>
      <c r="Z192" s="14">
        <f>W192</f>
        <v>6120</v>
      </c>
      <c r="AA192" s="18">
        <f>ROUND(M192/15,-1)</f>
        <v>5300</v>
      </c>
      <c r="AB192" s="14">
        <f>AA192</f>
        <v>5300</v>
      </c>
      <c r="AC192" s="14">
        <f t="shared" ref="AC192:AC200" si="538">AB192</f>
        <v>5300</v>
      </c>
      <c r="AD192" s="14">
        <f t="shared" ref="AD192:AD200" si="539">AC192</f>
        <v>5300</v>
      </c>
      <c r="AE192" s="14">
        <f t="shared" ref="AE192:AE200" si="540">AD192</f>
        <v>5300</v>
      </c>
      <c r="AF192" s="14">
        <f t="shared" ref="AF192:AF200" si="541">AE192</f>
        <v>5300</v>
      </c>
      <c r="AG192" s="14">
        <f t="shared" ref="AG192:AG200" si="542">AF192</f>
        <v>5300</v>
      </c>
      <c r="AH192" s="14">
        <f t="shared" ref="AH192:AH200" si="543">AG192</f>
        <v>5300</v>
      </c>
      <c r="AI192" s="14">
        <f t="shared" ref="AI192:AI200" si="544">AH192</f>
        <v>5300</v>
      </c>
      <c r="AJ192" s="14">
        <f t="shared" ref="AJ192:AJ200" si="545">AI192</f>
        <v>5300</v>
      </c>
      <c r="AK192" s="14">
        <f t="shared" ref="AK192:AK200" si="546">AJ192</f>
        <v>5300</v>
      </c>
      <c r="AL192" s="14">
        <f t="shared" ref="AL192:AL200" si="547">AK192</f>
        <v>5300</v>
      </c>
      <c r="AM192" s="14">
        <f t="shared" ref="AM192:AM200" si="548">AL192</f>
        <v>5300</v>
      </c>
    </row>
    <row r="193" spans="1:39" x14ac:dyDescent="0.35">
      <c r="A193" s="161">
        <v>44470</v>
      </c>
      <c r="B193" s="7"/>
      <c r="C193" s="46" t="s">
        <v>247</v>
      </c>
      <c r="D193" s="2" t="s">
        <v>13</v>
      </c>
      <c r="E193" s="2"/>
      <c r="F193" s="2" t="s">
        <v>169</v>
      </c>
      <c r="G193" s="107">
        <v>4800</v>
      </c>
      <c r="H193" s="107"/>
      <c r="I193" s="107">
        <v>4800</v>
      </c>
      <c r="J193" s="107">
        <v>6000</v>
      </c>
      <c r="K193" s="155"/>
      <c r="L193" s="155">
        <v>8000</v>
      </c>
      <c r="M193" s="155">
        <v>8000</v>
      </c>
      <c r="O193" s="18">
        <f t="shared" ref="O193:O201" si="549">ROUND(M193/5,-1)</f>
        <v>1600</v>
      </c>
      <c r="P193" s="14">
        <f t="shared" si="536"/>
        <v>1600</v>
      </c>
      <c r="Q193" s="18">
        <f t="shared" ref="Q193:Q201" si="550">ROUND(M193/7,-1)</f>
        <v>1140</v>
      </c>
      <c r="R193" s="14">
        <f t="shared" ref="R193:R200" si="551">Q193</f>
        <v>1140</v>
      </c>
      <c r="S193" s="14">
        <f t="shared" ref="S193:S200" si="552">Q193</f>
        <v>1140</v>
      </c>
      <c r="T193" s="18">
        <f t="shared" ref="T193:T201" si="553">ROUND(M193/10,-1)</f>
        <v>800</v>
      </c>
      <c r="U193" s="14">
        <f t="shared" ref="U193:U200" si="554">T193</f>
        <v>800</v>
      </c>
      <c r="V193" s="14">
        <f t="shared" ref="V193:V200" si="555">T193</f>
        <v>800</v>
      </c>
      <c r="W193" s="18">
        <f t="shared" ref="W193:W201" si="556">ROUND(M193/12,-1)</f>
        <v>670</v>
      </c>
      <c r="X193" s="14">
        <f t="shared" ref="X193:X200" si="557">W193</f>
        <v>670</v>
      </c>
      <c r="Y193" s="14">
        <f t="shared" ref="Y193:Y200" si="558">W193</f>
        <v>670</v>
      </c>
      <c r="Z193" s="14">
        <f t="shared" ref="Z193:Z200" si="559">W193</f>
        <v>670</v>
      </c>
      <c r="AA193" s="18">
        <f t="shared" ref="AA193:AA201" si="560">ROUND(M193/14,-1)</f>
        <v>570</v>
      </c>
      <c r="AB193" s="14">
        <f t="shared" ref="AB193:AB200" si="561">AA193</f>
        <v>570</v>
      </c>
      <c r="AC193" s="14">
        <f t="shared" si="538"/>
        <v>570</v>
      </c>
      <c r="AD193" s="14">
        <f t="shared" si="539"/>
        <v>570</v>
      </c>
      <c r="AE193" s="14">
        <f t="shared" si="540"/>
        <v>570</v>
      </c>
      <c r="AF193" s="14">
        <f t="shared" si="541"/>
        <v>570</v>
      </c>
      <c r="AG193" s="14">
        <f t="shared" si="542"/>
        <v>570</v>
      </c>
      <c r="AH193" s="14">
        <f t="shared" si="543"/>
        <v>570</v>
      </c>
      <c r="AI193" s="14">
        <f t="shared" si="544"/>
        <v>570</v>
      </c>
      <c r="AJ193" s="14">
        <f t="shared" si="545"/>
        <v>570</v>
      </c>
      <c r="AK193" s="14">
        <f t="shared" si="546"/>
        <v>570</v>
      </c>
      <c r="AL193" s="14">
        <f t="shared" si="547"/>
        <v>570</v>
      </c>
      <c r="AM193" s="14">
        <f t="shared" si="548"/>
        <v>570</v>
      </c>
    </row>
    <row r="194" spans="1:39" x14ac:dyDescent="0.35">
      <c r="A194" s="161">
        <v>44470</v>
      </c>
      <c r="B194" s="7"/>
      <c r="C194" s="46" t="s">
        <v>244</v>
      </c>
      <c r="D194" s="2" t="s">
        <v>13</v>
      </c>
      <c r="E194" s="2"/>
      <c r="F194" s="2" t="s">
        <v>169</v>
      </c>
      <c r="G194" s="107">
        <v>5680</v>
      </c>
      <c r="H194" s="107"/>
      <c r="I194" s="107">
        <v>5680</v>
      </c>
      <c r="J194" s="107">
        <v>7100</v>
      </c>
      <c r="K194" s="155"/>
      <c r="L194" s="155">
        <v>10000</v>
      </c>
      <c r="M194" s="155">
        <v>10000</v>
      </c>
      <c r="O194" s="18">
        <f t="shared" si="549"/>
        <v>2000</v>
      </c>
      <c r="P194" s="14">
        <f t="shared" si="536"/>
        <v>2000</v>
      </c>
      <c r="Q194" s="18">
        <f t="shared" si="550"/>
        <v>1430</v>
      </c>
      <c r="R194" s="14">
        <f t="shared" si="551"/>
        <v>1430</v>
      </c>
      <c r="S194" s="14">
        <f t="shared" si="552"/>
        <v>1430</v>
      </c>
      <c r="T194" s="18">
        <f t="shared" si="553"/>
        <v>1000</v>
      </c>
      <c r="U194" s="14">
        <f t="shared" si="554"/>
        <v>1000</v>
      </c>
      <c r="V194" s="14">
        <f t="shared" si="555"/>
        <v>1000</v>
      </c>
      <c r="W194" s="18">
        <f t="shared" si="556"/>
        <v>830</v>
      </c>
      <c r="X194" s="14">
        <f t="shared" si="557"/>
        <v>830</v>
      </c>
      <c r="Y194" s="14">
        <f t="shared" si="558"/>
        <v>830</v>
      </c>
      <c r="Z194" s="14">
        <f t="shared" si="559"/>
        <v>830</v>
      </c>
      <c r="AA194" s="18">
        <f t="shared" si="560"/>
        <v>710</v>
      </c>
      <c r="AB194" s="14">
        <f t="shared" si="561"/>
        <v>710</v>
      </c>
      <c r="AC194" s="14">
        <f t="shared" si="538"/>
        <v>710</v>
      </c>
      <c r="AD194" s="14">
        <f t="shared" si="539"/>
        <v>710</v>
      </c>
      <c r="AE194" s="14">
        <f t="shared" si="540"/>
        <v>710</v>
      </c>
      <c r="AF194" s="14">
        <f t="shared" si="541"/>
        <v>710</v>
      </c>
      <c r="AG194" s="14">
        <f t="shared" si="542"/>
        <v>710</v>
      </c>
      <c r="AH194" s="14">
        <f t="shared" si="543"/>
        <v>710</v>
      </c>
      <c r="AI194" s="14">
        <f t="shared" si="544"/>
        <v>710</v>
      </c>
      <c r="AJ194" s="14">
        <f t="shared" si="545"/>
        <v>710</v>
      </c>
      <c r="AK194" s="14">
        <f t="shared" si="546"/>
        <v>710</v>
      </c>
      <c r="AL194" s="14">
        <f t="shared" si="547"/>
        <v>710</v>
      </c>
      <c r="AM194" s="14">
        <f t="shared" si="548"/>
        <v>710</v>
      </c>
    </row>
    <row r="195" spans="1:39" x14ac:dyDescent="0.35">
      <c r="A195" s="161">
        <v>44470</v>
      </c>
      <c r="B195" s="7"/>
      <c r="C195" s="46" t="s">
        <v>262</v>
      </c>
      <c r="D195" s="2" t="s">
        <v>13</v>
      </c>
      <c r="E195" s="2"/>
      <c r="F195" s="2" t="s">
        <v>169</v>
      </c>
      <c r="G195" s="107">
        <v>5000</v>
      </c>
      <c r="H195" s="107"/>
      <c r="I195" s="107">
        <v>5000</v>
      </c>
      <c r="J195" s="107">
        <v>6250</v>
      </c>
      <c r="K195" s="155"/>
      <c r="L195" s="155">
        <v>7000</v>
      </c>
      <c r="M195" s="155">
        <v>7000</v>
      </c>
      <c r="O195" s="18">
        <f t="shared" si="549"/>
        <v>1400</v>
      </c>
      <c r="P195" s="14">
        <f t="shared" si="536"/>
        <v>1400</v>
      </c>
      <c r="Q195" s="18">
        <f t="shared" si="550"/>
        <v>1000</v>
      </c>
      <c r="R195" s="14">
        <f t="shared" si="551"/>
        <v>1000</v>
      </c>
      <c r="S195" s="14">
        <f t="shared" si="552"/>
        <v>1000</v>
      </c>
      <c r="T195" s="18">
        <f t="shared" si="553"/>
        <v>700</v>
      </c>
      <c r="U195" s="14">
        <f t="shared" si="554"/>
        <v>700</v>
      </c>
      <c r="V195" s="14">
        <f t="shared" si="555"/>
        <v>700</v>
      </c>
      <c r="W195" s="18">
        <f t="shared" si="556"/>
        <v>580</v>
      </c>
      <c r="X195" s="14">
        <f t="shared" si="557"/>
        <v>580</v>
      </c>
      <c r="Y195" s="14">
        <f t="shared" si="558"/>
        <v>580</v>
      </c>
      <c r="Z195" s="14">
        <f t="shared" si="559"/>
        <v>580</v>
      </c>
      <c r="AA195" s="18">
        <f t="shared" si="560"/>
        <v>500</v>
      </c>
      <c r="AB195" s="14">
        <f t="shared" si="561"/>
        <v>500</v>
      </c>
      <c r="AC195" s="14">
        <f t="shared" si="538"/>
        <v>500</v>
      </c>
      <c r="AD195" s="14">
        <f t="shared" si="539"/>
        <v>500</v>
      </c>
      <c r="AE195" s="14">
        <f t="shared" si="540"/>
        <v>500</v>
      </c>
      <c r="AF195" s="14">
        <f t="shared" si="541"/>
        <v>500</v>
      </c>
      <c r="AG195" s="14">
        <f t="shared" si="542"/>
        <v>500</v>
      </c>
      <c r="AH195" s="14">
        <f t="shared" si="543"/>
        <v>500</v>
      </c>
      <c r="AI195" s="14">
        <f t="shared" si="544"/>
        <v>500</v>
      </c>
      <c r="AJ195" s="14">
        <f t="shared" si="545"/>
        <v>500</v>
      </c>
      <c r="AK195" s="14">
        <f t="shared" si="546"/>
        <v>500</v>
      </c>
      <c r="AL195" s="14">
        <f t="shared" si="547"/>
        <v>500</v>
      </c>
      <c r="AM195" s="14">
        <f t="shared" si="548"/>
        <v>500</v>
      </c>
    </row>
    <row r="196" spans="1:39" x14ac:dyDescent="0.35">
      <c r="B196" s="1"/>
      <c r="C196" s="46" t="s">
        <v>266</v>
      </c>
      <c r="D196" s="2" t="s">
        <v>13</v>
      </c>
      <c r="E196" s="2"/>
      <c r="F196" s="2" t="s">
        <v>169</v>
      </c>
      <c r="G196" s="107">
        <v>800</v>
      </c>
      <c r="H196" s="107"/>
      <c r="I196" s="107">
        <v>1300</v>
      </c>
      <c r="J196" s="107">
        <v>1625</v>
      </c>
      <c r="K196" s="155"/>
      <c r="L196" s="155">
        <f>H196*1.25</f>
        <v>0</v>
      </c>
      <c r="M196" s="155">
        <f>I196*1.25</f>
        <v>1625</v>
      </c>
      <c r="O196" s="18">
        <f t="shared" si="549"/>
        <v>330</v>
      </c>
      <c r="P196" s="14">
        <f t="shared" si="536"/>
        <v>330</v>
      </c>
      <c r="Q196" s="18">
        <f t="shared" si="550"/>
        <v>230</v>
      </c>
      <c r="R196" s="14">
        <f t="shared" si="551"/>
        <v>230</v>
      </c>
      <c r="S196" s="14">
        <f t="shared" si="552"/>
        <v>230</v>
      </c>
      <c r="T196" s="18">
        <f t="shared" si="553"/>
        <v>160</v>
      </c>
      <c r="U196" s="14">
        <f t="shared" si="554"/>
        <v>160</v>
      </c>
      <c r="V196" s="14">
        <f t="shared" si="555"/>
        <v>160</v>
      </c>
      <c r="W196" s="18">
        <f t="shared" si="556"/>
        <v>140</v>
      </c>
      <c r="X196" s="14">
        <f t="shared" si="557"/>
        <v>140</v>
      </c>
      <c r="Y196" s="14">
        <f t="shared" si="558"/>
        <v>140</v>
      </c>
      <c r="Z196" s="14">
        <f t="shared" si="559"/>
        <v>140</v>
      </c>
      <c r="AA196" s="18">
        <f t="shared" si="560"/>
        <v>120</v>
      </c>
      <c r="AB196" s="14">
        <f t="shared" si="561"/>
        <v>120</v>
      </c>
      <c r="AC196" s="14">
        <f t="shared" si="538"/>
        <v>120</v>
      </c>
      <c r="AD196" s="14">
        <f t="shared" si="539"/>
        <v>120</v>
      </c>
      <c r="AE196" s="14">
        <f t="shared" si="540"/>
        <v>120</v>
      </c>
      <c r="AF196" s="14">
        <f t="shared" si="541"/>
        <v>120</v>
      </c>
      <c r="AG196" s="14">
        <f t="shared" si="542"/>
        <v>120</v>
      </c>
      <c r="AH196" s="14">
        <f t="shared" si="543"/>
        <v>120</v>
      </c>
      <c r="AI196" s="14">
        <f t="shared" si="544"/>
        <v>120</v>
      </c>
      <c r="AJ196" s="14">
        <f t="shared" si="545"/>
        <v>120</v>
      </c>
      <c r="AK196" s="14">
        <f t="shared" si="546"/>
        <v>120</v>
      </c>
      <c r="AL196" s="14">
        <f t="shared" si="547"/>
        <v>120</v>
      </c>
      <c r="AM196" s="14">
        <f t="shared" si="548"/>
        <v>120</v>
      </c>
    </row>
    <row r="197" spans="1:39" x14ac:dyDescent="0.35">
      <c r="B197" s="1"/>
      <c r="C197" s="117" t="s">
        <v>306</v>
      </c>
      <c r="D197" s="2" t="s">
        <v>13</v>
      </c>
      <c r="E197" s="2"/>
      <c r="F197" s="2" t="s">
        <v>169</v>
      </c>
      <c r="G197" s="122">
        <f>2800*2</f>
        <v>5600</v>
      </c>
      <c r="H197" s="107"/>
      <c r="I197" s="122">
        <v>8000</v>
      </c>
      <c r="J197" s="122">
        <v>10000</v>
      </c>
      <c r="K197" s="155"/>
      <c r="L197" s="155">
        <f>H197*1.25</f>
        <v>0</v>
      </c>
      <c r="M197" s="155">
        <f>I197*1.25</f>
        <v>10000</v>
      </c>
      <c r="O197" s="18">
        <f t="shared" si="549"/>
        <v>2000</v>
      </c>
      <c r="P197" s="14">
        <f t="shared" si="536"/>
        <v>2000</v>
      </c>
      <c r="Q197" s="18">
        <f t="shared" si="550"/>
        <v>1430</v>
      </c>
      <c r="R197" s="14">
        <f t="shared" si="551"/>
        <v>1430</v>
      </c>
      <c r="S197" s="14">
        <f t="shared" si="552"/>
        <v>1430</v>
      </c>
      <c r="T197" s="18">
        <f t="shared" si="553"/>
        <v>1000</v>
      </c>
      <c r="U197" s="14">
        <f t="shared" si="554"/>
        <v>1000</v>
      </c>
      <c r="V197" s="14">
        <f t="shared" si="555"/>
        <v>1000</v>
      </c>
      <c r="W197" s="18">
        <f t="shared" si="556"/>
        <v>830</v>
      </c>
      <c r="X197" s="14">
        <f t="shared" si="557"/>
        <v>830</v>
      </c>
      <c r="Y197" s="14">
        <f t="shared" si="558"/>
        <v>830</v>
      </c>
      <c r="Z197" s="14">
        <f t="shared" si="559"/>
        <v>830</v>
      </c>
      <c r="AA197" s="18">
        <f t="shared" si="560"/>
        <v>710</v>
      </c>
      <c r="AB197" s="14">
        <f t="shared" si="561"/>
        <v>710</v>
      </c>
      <c r="AC197" s="14">
        <f t="shared" si="538"/>
        <v>710</v>
      </c>
      <c r="AD197" s="14">
        <f t="shared" si="539"/>
        <v>710</v>
      </c>
      <c r="AE197" s="14">
        <f t="shared" si="540"/>
        <v>710</v>
      </c>
      <c r="AF197" s="14">
        <f t="shared" si="541"/>
        <v>710</v>
      </c>
      <c r="AG197" s="14">
        <f t="shared" si="542"/>
        <v>710</v>
      </c>
      <c r="AH197" s="14">
        <f t="shared" si="543"/>
        <v>710</v>
      </c>
      <c r="AI197" s="14">
        <f t="shared" si="544"/>
        <v>710</v>
      </c>
      <c r="AJ197" s="14">
        <f t="shared" si="545"/>
        <v>710</v>
      </c>
      <c r="AK197" s="14">
        <f t="shared" si="546"/>
        <v>710</v>
      </c>
      <c r="AL197" s="14">
        <f t="shared" si="547"/>
        <v>710</v>
      </c>
      <c r="AM197" s="14">
        <f t="shared" si="548"/>
        <v>710</v>
      </c>
    </row>
    <row r="198" spans="1:39" x14ac:dyDescent="0.35">
      <c r="A198" s="161">
        <v>44470</v>
      </c>
      <c r="B198" s="7"/>
      <c r="C198" s="46" t="s">
        <v>309</v>
      </c>
      <c r="D198" s="2" t="s">
        <v>13</v>
      </c>
      <c r="E198" s="2"/>
      <c r="F198" s="2" t="s">
        <v>169</v>
      </c>
      <c r="G198" s="107">
        <v>9400</v>
      </c>
      <c r="H198" s="107"/>
      <c r="I198" s="107">
        <v>9400</v>
      </c>
      <c r="J198" s="107">
        <v>11750</v>
      </c>
      <c r="K198" s="155"/>
      <c r="L198" s="155">
        <f>12000</f>
        <v>12000</v>
      </c>
      <c r="M198" s="155">
        <f>12000</f>
        <v>12000</v>
      </c>
      <c r="O198" s="18">
        <f t="shared" si="549"/>
        <v>2400</v>
      </c>
      <c r="P198" s="14">
        <f t="shared" si="536"/>
        <v>2400</v>
      </c>
      <c r="Q198" s="18">
        <f t="shared" si="550"/>
        <v>1710</v>
      </c>
      <c r="R198" s="14">
        <f t="shared" si="551"/>
        <v>1710</v>
      </c>
      <c r="S198" s="14">
        <f t="shared" si="552"/>
        <v>1710</v>
      </c>
      <c r="T198" s="18">
        <f t="shared" si="553"/>
        <v>1200</v>
      </c>
      <c r="U198" s="14">
        <f t="shared" si="554"/>
        <v>1200</v>
      </c>
      <c r="V198" s="14">
        <f t="shared" si="555"/>
        <v>1200</v>
      </c>
      <c r="W198" s="18">
        <f t="shared" si="556"/>
        <v>1000</v>
      </c>
      <c r="X198" s="14">
        <f t="shared" si="557"/>
        <v>1000</v>
      </c>
      <c r="Y198" s="14">
        <f t="shared" si="558"/>
        <v>1000</v>
      </c>
      <c r="Z198" s="14">
        <f t="shared" si="559"/>
        <v>1000</v>
      </c>
      <c r="AA198" s="18">
        <f t="shared" si="560"/>
        <v>860</v>
      </c>
      <c r="AB198" s="14">
        <f t="shared" si="561"/>
        <v>860</v>
      </c>
      <c r="AC198" s="14">
        <f t="shared" si="538"/>
        <v>860</v>
      </c>
      <c r="AD198" s="14">
        <f t="shared" si="539"/>
        <v>860</v>
      </c>
      <c r="AE198" s="14">
        <f t="shared" si="540"/>
        <v>860</v>
      </c>
      <c r="AF198" s="14">
        <f t="shared" si="541"/>
        <v>860</v>
      </c>
      <c r="AG198" s="14">
        <f t="shared" si="542"/>
        <v>860</v>
      </c>
      <c r="AH198" s="14">
        <f t="shared" si="543"/>
        <v>860</v>
      </c>
      <c r="AI198" s="14">
        <f t="shared" si="544"/>
        <v>860</v>
      </c>
      <c r="AJ198" s="14">
        <f t="shared" si="545"/>
        <v>860</v>
      </c>
      <c r="AK198" s="14">
        <f t="shared" si="546"/>
        <v>860</v>
      </c>
      <c r="AL198" s="14">
        <f t="shared" si="547"/>
        <v>860</v>
      </c>
      <c r="AM198" s="14">
        <f t="shared" si="548"/>
        <v>860</v>
      </c>
    </row>
    <row r="199" spans="1:39" x14ac:dyDescent="0.35">
      <c r="A199" s="161">
        <v>44470</v>
      </c>
      <c r="B199" s="7"/>
      <c r="C199" s="46" t="s">
        <v>248</v>
      </c>
      <c r="D199" s="2" t="s">
        <v>13</v>
      </c>
      <c r="E199" s="2"/>
      <c r="F199" s="2" t="s">
        <v>169</v>
      </c>
      <c r="G199" s="107">
        <v>6400</v>
      </c>
      <c r="H199" s="107"/>
      <c r="I199" s="107">
        <v>6400</v>
      </c>
      <c r="J199" s="107">
        <v>8000</v>
      </c>
      <c r="K199" s="155"/>
      <c r="L199" s="155">
        <v>12000</v>
      </c>
      <c r="M199" s="155">
        <v>12000</v>
      </c>
      <c r="O199" s="18">
        <f t="shared" si="549"/>
        <v>2400</v>
      </c>
      <c r="P199" s="14">
        <f t="shared" si="536"/>
        <v>2400</v>
      </c>
      <c r="Q199" s="18">
        <f t="shared" si="550"/>
        <v>1710</v>
      </c>
      <c r="R199" s="14">
        <f t="shared" si="551"/>
        <v>1710</v>
      </c>
      <c r="S199" s="14">
        <f t="shared" si="552"/>
        <v>1710</v>
      </c>
      <c r="T199" s="18">
        <f t="shared" si="553"/>
        <v>1200</v>
      </c>
      <c r="U199" s="14">
        <f t="shared" si="554"/>
        <v>1200</v>
      </c>
      <c r="V199" s="14">
        <f t="shared" si="555"/>
        <v>1200</v>
      </c>
      <c r="W199" s="18">
        <f t="shared" si="556"/>
        <v>1000</v>
      </c>
      <c r="X199" s="14">
        <f t="shared" si="557"/>
        <v>1000</v>
      </c>
      <c r="Y199" s="14">
        <f t="shared" si="558"/>
        <v>1000</v>
      </c>
      <c r="Z199" s="14">
        <f t="shared" si="559"/>
        <v>1000</v>
      </c>
      <c r="AA199" s="18">
        <f t="shared" si="560"/>
        <v>860</v>
      </c>
      <c r="AB199" s="14">
        <f t="shared" si="561"/>
        <v>860</v>
      </c>
      <c r="AC199" s="14">
        <f t="shared" si="538"/>
        <v>860</v>
      </c>
      <c r="AD199" s="14">
        <f t="shared" si="539"/>
        <v>860</v>
      </c>
      <c r="AE199" s="14">
        <f t="shared" si="540"/>
        <v>860</v>
      </c>
      <c r="AF199" s="14">
        <f t="shared" si="541"/>
        <v>860</v>
      </c>
      <c r="AG199" s="14">
        <f t="shared" si="542"/>
        <v>860</v>
      </c>
      <c r="AH199" s="14">
        <f t="shared" si="543"/>
        <v>860</v>
      </c>
      <c r="AI199" s="14">
        <f t="shared" si="544"/>
        <v>860</v>
      </c>
      <c r="AJ199" s="14">
        <f t="shared" si="545"/>
        <v>860</v>
      </c>
      <c r="AK199" s="14">
        <f t="shared" si="546"/>
        <v>860</v>
      </c>
      <c r="AL199" s="14">
        <f t="shared" si="547"/>
        <v>860</v>
      </c>
      <c r="AM199" s="14">
        <f t="shared" si="548"/>
        <v>860</v>
      </c>
    </row>
    <row r="200" spans="1:39" x14ac:dyDescent="0.35">
      <c r="A200" s="161">
        <v>44470</v>
      </c>
      <c r="B200" s="7"/>
      <c r="C200" s="46" t="s">
        <v>323</v>
      </c>
      <c r="D200" s="31" t="s">
        <v>13</v>
      </c>
      <c r="E200" s="31"/>
      <c r="F200" s="31" t="s">
        <v>169</v>
      </c>
      <c r="G200" s="107">
        <v>3150</v>
      </c>
      <c r="H200" s="107"/>
      <c r="I200" s="107">
        <v>3150</v>
      </c>
      <c r="J200" s="107">
        <v>3937.5</v>
      </c>
      <c r="K200" s="155"/>
      <c r="L200" s="155">
        <v>5000</v>
      </c>
      <c r="M200" s="155">
        <v>5000</v>
      </c>
      <c r="O200" s="18">
        <f t="shared" si="549"/>
        <v>1000</v>
      </c>
      <c r="P200" s="14">
        <f t="shared" si="536"/>
        <v>1000</v>
      </c>
      <c r="Q200" s="18">
        <f t="shared" si="550"/>
        <v>710</v>
      </c>
      <c r="R200" s="14">
        <f t="shared" si="551"/>
        <v>710</v>
      </c>
      <c r="S200" s="14">
        <f t="shared" si="552"/>
        <v>710</v>
      </c>
      <c r="T200" s="18">
        <f t="shared" si="553"/>
        <v>500</v>
      </c>
      <c r="U200" s="14">
        <f t="shared" si="554"/>
        <v>500</v>
      </c>
      <c r="V200" s="14">
        <f t="shared" si="555"/>
        <v>500</v>
      </c>
      <c r="W200" s="18">
        <f t="shared" si="556"/>
        <v>420</v>
      </c>
      <c r="X200" s="14">
        <f t="shared" si="557"/>
        <v>420</v>
      </c>
      <c r="Y200" s="14">
        <f t="shared" si="558"/>
        <v>420</v>
      </c>
      <c r="Z200" s="14">
        <f t="shared" si="559"/>
        <v>420</v>
      </c>
      <c r="AA200" s="18">
        <f t="shared" si="560"/>
        <v>360</v>
      </c>
      <c r="AB200" s="14">
        <f t="shared" si="561"/>
        <v>360</v>
      </c>
      <c r="AC200" s="14">
        <f t="shared" si="538"/>
        <v>360</v>
      </c>
      <c r="AD200" s="14">
        <f t="shared" si="539"/>
        <v>360</v>
      </c>
      <c r="AE200" s="14">
        <f t="shared" si="540"/>
        <v>360</v>
      </c>
      <c r="AF200" s="14">
        <f t="shared" si="541"/>
        <v>360</v>
      </c>
      <c r="AG200" s="14">
        <f t="shared" si="542"/>
        <v>360</v>
      </c>
      <c r="AH200" s="14">
        <f t="shared" si="543"/>
        <v>360</v>
      </c>
      <c r="AI200" s="14">
        <f t="shared" si="544"/>
        <v>360</v>
      </c>
      <c r="AJ200" s="14">
        <f t="shared" si="545"/>
        <v>360</v>
      </c>
      <c r="AK200" s="14">
        <f t="shared" si="546"/>
        <v>360</v>
      </c>
      <c r="AL200" s="14">
        <f t="shared" si="547"/>
        <v>360</v>
      </c>
      <c r="AM200" s="14">
        <f t="shared" si="548"/>
        <v>360</v>
      </c>
    </row>
    <row r="201" spans="1:39" x14ac:dyDescent="0.35">
      <c r="A201" s="161">
        <v>44470</v>
      </c>
      <c r="B201" s="160"/>
      <c r="C201" s="106" t="s">
        <v>305</v>
      </c>
      <c r="D201" s="31" t="s">
        <v>13</v>
      </c>
      <c r="F201" s="31" t="s">
        <v>169</v>
      </c>
      <c r="G201" s="107">
        <v>1500</v>
      </c>
      <c r="H201" s="107"/>
      <c r="I201" s="107">
        <v>1500</v>
      </c>
      <c r="J201" s="107">
        <v>1875</v>
      </c>
      <c r="K201" s="155"/>
      <c r="L201" s="155">
        <f>H201*1.4</f>
        <v>0</v>
      </c>
      <c r="M201" s="155">
        <f>I201*1.4</f>
        <v>2100</v>
      </c>
      <c r="O201" s="18">
        <f t="shared" si="549"/>
        <v>420</v>
      </c>
      <c r="P201" s="14">
        <f t="shared" si="536"/>
        <v>420</v>
      </c>
      <c r="Q201" s="18">
        <f t="shared" si="550"/>
        <v>300</v>
      </c>
      <c r="R201" s="14">
        <f t="shared" ref="R201" si="562">Q201</f>
        <v>300</v>
      </c>
      <c r="S201" s="14">
        <f t="shared" ref="S201" si="563">Q201</f>
        <v>300</v>
      </c>
      <c r="T201" s="18">
        <f t="shared" si="553"/>
        <v>210</v>
      </c>
      <c r="U201" s="14">
        <f t="shared" ref="U201" si="564">T201</f>
        <v>210</v>
      </c>
      <c r="V201" s="14">
        <f t="shared" ref="V201" si="565">T201</f>
        <v>210</v>
      </c>
      <c r="W201" s="18">
        <f t="shared" si="556"/>
        <v>180</v>
      </c>
      <c r="X201" s="14">
        <f t="shared" ref="X201" si="566">W201</f>
        <v>180</v>
      </c>
      <c r="Y201" s="14">
        <f t="shared" ref="Y201" si="567">W201</f>
        <v>180</v>
      </c>
      <c r="Z201" s="14">
        <f t="shared" ref="Z201" si="568">W201</f>
        <v>180</v>
      </c>
      <c r="AA201" s="18">
        <f t="shared" si="560"/>
        <v>150</v>
      </c>
      <c r="AB201" s="14">
        <f t="shared" ref="AB201" si="569">AA201</f>
        <v>150</v>
      </c>
      <c r="AC201" s="14">
        <f t="shared" ref="AC201" si="570">AB201</f>
        <v>150</v>
      </c>
      <c r="AD201" s="14">
        <f t="shared" ref="AD201" si="571">AC201</f>
        <v>150</v>
      </c>
      <c r="AE201" s="14">
        <f t="shared" ref="AE201" si="572">AD201</f>
        <v>150</v>
      </c>
      <c r="AF201" s="14">
        <f t="shared" ref="AF201" si="573">AE201</f>
        <v>150</v>
      </c>
      <c r="AG201" s="14">
        <f t="shared" ref="AG201" si="574">AF201</f>
        <v>150</v>
      </c>
      <c r="AH201" s="14">
        <f t="shared" ref="AH201" si="575">AG201</f>
        <v>150</v>
      </c>
      <c r="AI201" s="14">
        <f t="shared" ref="AI201" si="576">AH201</f>
        <v>150</v>
      </c>
      <c r="AJ201" s="14">
        <f t="shared" ref="AJ201" si="577">AI201</f>
        <v>150</v>
      </c>
      <c r="AK201" s="14">
        <f t="shared" ref="AK201" si="578">AJ201</f>
        <v>150</v>
      </c>
      <c r="AL201" s="14">
        <f t="shared" ref="AL201" si="579">AK201</f>
        <v>150</v>
      </c>
      <c r="AM201" s="14">
        <f t="shared" ref="AM201" si="580">AL201</f>
        <v>150</v>
      </c>
    </row>
    <row r="203" spans="1:39" x14ac:dyDescent="0.35">
      <c r="A203" s="161">
        <v>44470</v>
      </c>
      <c r="B203" s="159"/>
      <c r="C203" s="38" t="s">
        <v>243</v>
      </c>
      <c r="D203" s="39" t="s">
        <v>13</v>
      </c>
      <c r="E203" s="38"/>
      <c r="F203" s="38" t="s">
        <v>182</v>
      </c>
      <c r="G203" s="40"/>
      <c r="I203" s="40"/>
      <c r="J203" s="40"/>
      <c r="K203" s="40"/>
      <c r="L203" s="40"/>
      <c r="M203" s="40"/>
      <c r="O203" s="41">
        <f>ROUND(($D$204*O$194+$D$205*O$101+$D$206*1+$D$207*O$84+$D$208*O$201+$D$209*O$200)*0.9,-1)</f>
        <v>9860</v>
      </c>
      <c r="P203" s="41">
        <f t="shared" ref="P203:AM203" si="581">ROUND(($D$204*P$193+$D$205*P$101+$D$206*1+$D$207*P$84+$D$208*P$201+$D$209*P$200)*0.9,-1)</f>
        <v>9140</v>
      </c>
      <c r="Q203" s="41">
        <f t="shared" si="581"/>
        <v>6290</v>
      </c>
      <c r="R203" s="41">
        <f t="shared" si="581"/>
        <v>6290</v>
      </c>
      <c r="S203" s="41">
        <f t="shared" si="581"/>
        <v>6290</v>
      </c>
      <c r="T203" s="41">
        <f t="shared" si="581"/>
        <v>4820</v>
      </c>
      <c r="U203" s="41">
        <f t="shared" si="581"/>
        <v>4820</v>
      </c>
      <c r="V203" s="41">
        <f t="shared" si="581"/>
        <v>4820</v>
      </c>
      <c r="W203" s="41">
        <f t="shared" si="581"/>
        <v>4000</v>
      </c>
      <c r="X203" s="41">
        <f t="shared" si="581"/>
        <v>4000</v>
      </c>
      <c r="Y203" s="41">
        <f t="shared" si="581"/>
        <v>4000</v>
      </c>
      <c r="Z203" s="41">
        <f t="shared" si="581"/>
        <v>4000</v>
      </c>
      <c r="AA203" s="41">
        <f t="shared" si="581"/>
        <v>3500</v>
      </c>
      <c r="AB203" s="41">
        <f t="shared" si="581"/>
        <v>3500</v>
      </c>
      <c r="AC203" s="41">
        <f t="shared" si="581"/>
        <v>3500</v>
      </c>
      <c r="AD203" s="41">
        <f t="shared" si="581"/>
        <v>3500</v>
      </c>
      <c r="AE203" s="41">
        <f t="shared" si="581"/>
        <v>3500</v>
      </c>
      <c r="AF203" s="41">
        <f t="shared" si="581"/>
        <v>3500</v>
      </c>
      <c r="AG203" s="41">
        <f t="shared" si="581"/>
        <v>3500</v>
      </c>
      <c r="AH203" s="41">
        <f t="shared" si="581"/>
        <v>3500</v>
      </c>
      <c r="AI203" s="41">
        <f t="shared" si="581"/>
        <v>3500</v>
      </c>
      <c r="AJ203" s="41">
        <f t="shared" si="581"/>
        <v>3500</v>
      </c>
      <c r="AK203" s="41">
        <f t="shared" si="581"/>
        <v>3500</v>
      </c>
      <c r="AL203" s="41">
        <f t="shared" si="581"/>
        <v>3500</v>
      </c>
      <c r="AM203" s="41">
        <f t="shared" si="581"/>
        <v>3500</v>
      </c>
    </row>
    <row r="204" spans="1:39" s="23" customFormat="1" x14ac:dyDescent="0.35">
      <c r="A204" s="20"/>
      <c r="B204" s="21"/>
      <c r="C204" s="129" t="str">
        <f>C194</f>
        <v>T2 - Стол 160 х 80 см</v>
      </c>
      <c r="D204" s="21">
        <v>2</v>
      </c>
      <c r="E204" s="21"/>
      <c r="F204" s="21"/>
      <c r="G204" s="24"/>
      <c r="H204" s="24"/>
      <c r="I204" s="24"/>
      <c r="J204" s="24"/>
      <c r="K204" s="24"/>
      <c r="L204" s="24"/>
      <c r="M204" s="24"/>
      <c r="N204" s="172"/>
      <c r="O204" s="25"/>
      <c r="P204" s="20"/>
      <c r="Q204" s="25"/>
      <c r="R204" s="20"/>
      <c r="S204" s="20"/>
      <c r="T204" s="25"/>
      <c r="U204" s="20"/>
      <c r="V204" s="20"/>
      <c r="W204" s="25"/>
      <c r="X204" s="20"/>
      <c r="Y204" s="20"/>
      <c r="Z204" s="20"/>
      <c r="AA204" s="25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</row>
    <row r="205" spans="1:39" s="23" customFormat="1" x14ac:dyDescent="0.35">
      <c r="A205" s="20"/>
      <c r="B205" s="21"/>
      <c r="C205" s="129" t="str">
        <f>C101</f>
        <v>T3 - Стул ИЗО (черная рама)</v>
      </c>
      <c r="D205" s="21">
        <v>12</v>
      </c>
      <c r="E205" s="21"/>
      <c r="F205" s="21"/>
      <c r="G205" s="24"/>
      <c r="H205" s="24"/>
      <c r="I205" s="24"/>
      <c r="J205" s="24"/>
      <c r="K205" s="24"/>
      <c r="L205" s="24"/>
      <c r="M205" s="24"/>
      <c r="N205" s="172"/>
      <c r="O205" s="25"/>
      <c r="P205" s="20"/>
      <c r="Q205" s="25"/>
      <c r="R205" s="20"/>
      <c r="S205" s="20"/>
      <c r="T205" s="25"/>
      <c r="U205" s="20"/>
      <c r="V205" s="20"/>
      <c r="W205" s="25"/>
      <c r="X205" s="20"/>
      <c r="Y205" s="20"/>
      <c r="Z205" s="20"/>
      <c r="AA205" s="25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</row>
    <row r="206" spans="1:39" s="23" customFormat="1" x14ac:dyDescent="0.35">
      <c r="A206" s="20"/>
      <c r="B206" s="21"/>
      <c r="C206" s="130" t="str">
        <f>C87</f>
        <v>Корзина для мусора</v>
      </c>
      <c r="D206" s="21">
        <v>1</v>
      </c>
      <c r="E206" s="21"/>
      <c r="F206" s="21"/>
      <c r="G206" s="24"/>
      <c r="H206" s="24"/>
      <c r="I206" s="24"/>
      <c r="J206" s="24"/>
      <c r="K206" s="24"/>
      <c r="L206" s="24"/>
      <c r="M206" s="24"/>
      <c r="N206" s="172"/>
      <c r="O206" s="25"/>
      <c r="P206" s="20"/>
      <c r="Q206" s="25"/>
      <c r="R206" s="20"/>
      <c r="S206" s="20"/>
      <c r="T206" s="25"/>
      <c r="U206" s="20"/>
      <c r="V206" s="20"/>
      <c r="W206" s="25"/>
      <c r="X206" s="20"/>
      <c r="Y206" s="20"/>
      <c r="Z206" s="20"/>
      <c r="AA206" s="25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</row>
    <row r="207" spans="1:39" s="23" customFormat="1" x14ac:dyDescent="0.35">
      <c r="A207" s="20"/>
      <c r="B207" s="21"/>
      <c r="C207" s="129" t="str">
        <f>C84</f>
        <v>Вешалка напольная</v>
      </c>
      <c r="D207" s="21">
        <v>2</v>
      </c>
      <c r="E207" s="21"/>
      <c r="F207" s="21"/>
      <c r="G207" s="24"/>
      <c r="H207" s="24"/>
      <c r="I207" s="24"/>
      <c r="J207" s="24"/>
      <c r="K207" s="24"/>
      <c r="L207" s="24"/>
      <c r="M207" s="24"/>
      <c r="N207" s="172"/>
      <c r="O207" s="25"/>
      <c r="P207" s="20"/>
      <c r="Q207" s="25"/>
      <c r="R207" s="20"/>
      <c r="S207" s="20"/>
      <c r="T207" s="25"/>
      <c r="U207" s="20"/>
      <c r="V207" s="20"/>
      <c r="W207" s="25"/>
      <c r="X207" s="20"/>
      <c r="Y207" s="20"/>
      <c r="Z207" s="20"/>
      <c r="AA207" s="25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</row>
    <row r="208" spans="1:39" s="23" customFormat="1" x14ac:dyDescent="0.35">
      <c r="A208" s="20"/>
      <c r="B208" s="21"/>
      <c r="C208" s="131" t="str">
        <f>C201</f>
        <v>Т2 - Навесной шкаф для посуды</v>
      </c>
      <c r="D208" s="21">
        <v>1</v>
      </c>
      <c r="E208" s="21"/>
      <c r="F208" s="21"/>
      <c r="G208" s="24"/>
      <c r="H208" s="24"/>
      <c r="I208" s="24"/>
      <c r="J208" s="24"/>
      <c r="K208" s="24"/>
      <c r="L208" s="24"/>
      <c r="M208" s="24"/>
      <c r="N208" s="172"/>
      <c r="O208" s="25"/>
      <c r="P208" s="20"/>
      <c r="Q208" s="25"/>
      <c r="R208" s="20"/>
      <c r="S208" s="20"/>
      <c r="T208" s="25"/>
      <c r="U208" s="20"/>
      <c r="V208" s="20"/>
      <c r="W208" s="25"/>
      <c r="X208" s="20"/>
      <c r="Y208" s="20"/>
      <c r="Z208" s="20"/>
      <c r="AA208" s="25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</row>
    <row r="209" spans="1:39" s="23" customFormat="1" x14ac:dyDescent="0.35">
      <c r="A209" s="20"/>
      <c r="B209" s="21"/>
      <c r="C209" s="132" t="str">
        <f>C200</f>
        <v>T2 - Шкаф архивный низкий</v>
      </c>
      <c r="D209" s="23">
        <v>1</v>
      </c>
      <c r="E209" s="21"/>
      <c r="F209" s="21"/>
      <c r="G209" s="24"/>
      <c r="H209" s="24"/>
      <c r="I209" s="24"/>
      <c r="J209" s="24"/>
      <c r="K209" s="24"/>
      <c r="L209" s="24"/>
      <c r="M209" s="24"/>
      <c r="N209" s="172"/>
      <c r="O209" s="25"/>
      <c r="P209" s="20"/>
      <c r="Q209" s="25"/>
      <c r="R209" s="20"/>
      <c r="S209" s="20"/>
      <c r="T209" s="25"/>
      <c r="U209" s="20"/>
      <c r="V209" s="20"/>
      <c r="W209" s="25"/>
      <c r="X209" s="20"/>
      <c r="Y209" s="20"/>
      <c r="Z209" s="20"/>
      <c r="AA209" s="25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</row>
    <row r="210" spans="1:39" x14ac:dyDescent="0.35">
      <c r="A210" s="161">
        <v>44470</v>
      </c>
      <c r="B210" s="159"/>
      <c r="C210" s="38" t="s">
        <v>245</v>
      </c>
      <c r="D210" s="39" t="s">
        <v>13</v>
      </c>
      <c r="E210" s="38"/>
      <c r="F210" s="38" t="s">
        <v>182</v>
      </c>
      <c r="G210" s="40"/>
      <c r="I210" s="40"/>
      <c r="J210" s="40"/>
      <c r="K210" s="40"/>
      <c r="L210" s="40"/>
      <c r="M210" s="40"/>
      <c r="O210" s="41">
        <f t="shared" ref="O210:AM210" si="582">ROUND(($D$211*O$194+$D$212*O$196+$D$213*O$88+$D$214*1+$D$215*O$84)*0.9,-1)</f>
        <v>7020</v>
      </c>
      <c r="P210" s="41">
        <f t="shared" si="582"/>
        <v>7020</v>
      </c>
      <c r="Q210" s="41">
        <f t="shared" si="582"/>
        <v>4950</v>
      </c>
      <c r="R210" s="41">
        <f t="shared" si="582"/>
        <v>4950</v>
      </c>
      <c r="S210" s="41">
        <f t="shared" si="582"/>
        <v>4950</v>
      </c>
      <c r="T210" s="41">
        <f t="shared" si="582"/>
        <v>3490</v>
      </c>
      <c r="U210" s="41">
        <f t="shared" si="582"/>
        <v>3490</v>
      </c>
      <c r="V210" s="41">
        <f t="shared" si="582"/>
        <v>3490</v>
      </c>
      <c r="W210" s="41">
        <f t="shared" si="582"/>
        <v>2950</v>
      </c>
      <c r="X210" s="41">
        <f t="shared" si="582"/>
        <v>2950</v>
      </c>
      <c r="Y210" s="41">
        <f t="shared" si="582"/>
        <v>2950</v>
      </c>
      <c r="Z210" s="41">
        <f t="shared" si="582"/>
        <v>2950</v>
      </c>
      <c r="AA210" s="41">
        <f t="shared" si="582"/>
        <v>2540</v>
      </c>
      <c r="AB210" s="41">
        <f t="shared" si="582"/>
        <v>2540</v>
      </c>
      <c r="AC210" s="41">
        <f t="shared" si="582"/>
        <v>2540</v>
      </c>
      <c r="AD210" s="41">
        <f t="shared" si="582"/>
        <v>2540</v>
      </c>
      <c r="AE210" s="41">
        <f t="shared" si="582"/>
        <v>2540</v>
      </c>
      <c r="AF210" s="41">
        <f t="shared" si="582"/>
        <v>2540</v>
      </c>
      <c r="AG210" s="41">
        <f t="shared" si="582"/>
        <v>2540</v>
      </c>
      <c r="AH210" s="41">
        <f t="shared" si="582"/>
        <v>2540</v>
      </c>
      <c r="AI210" s="41">
        <f t="shared" si="582"/>
        <v>2540</v>
      </c>
      <c r="AJ210" s="41">
        <f t="shared" si="582"/>
        <v>2540</v>
      </c>
      <c r="AK210" s="41">
        <f t="shared" si="582"/>
        <v>2540</v>
      </c>
      <c r="AL210" s="41">
        <f t="shared" si="582"/>
        <v>2540</v>
      </c>
      <c r="AM210" s="41">
        <f t="shared" si="582"/>
        <v>2540</v>
      </c>
    </row>
    <row r="211" spans="1:39" s="23" customFormat="1" x14ac:dyDescent="0.35">
      <c r="A211" s="20"/>
      <c r="B211" s="21"/>
      <c r="C211" s="129" t="str">
        <f>C194</f>
        <v>T2 - Стол 160 х 80 см</v>
      </c>
      <c r="D211" s="21">
        <v>2</v>
      </c>
      <c r="E211" s="21"/>
      <c r="F211" s="21"/>
      <c r="G211" s="24"/>
      <c r="H211" s="24"/>
      <c r="I211" s="24"/>
      <c r="J211" s="24"/>
      <c r="K211" s="24"/>
      <c r="L211" s="24"/>
      <c r="M211" s="24"/>
      <c r="N211" s="172"/>
      <c r="O211" s="25"/>
      <c r="P211" s="20"/>
      <c r="Q211" s="25"/>
      <c r="R211" s="20"/>
      <c r="S211" s="20"/>
      <c r="T211" s="25"/>
      <c r="U211" s="20"/>
      <c r="V211" s="20"/>
      <c r="W211" s="25"/>
      <c r="X211" s="20"/>
      <c r="Y211" s="20"/>
      <c r="Z211" s="20"/>
      <c r="AA211" s="25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</row>
    <row r="212" spans="1:39" s="23" customFormat="1" x14ac:dyDescent="0.35">
      <c r="A212" s="20"/>
      <c r="B212" s="21"/>
      <c r="C212" s="129" t="str">
        <f>C196</f>
        <v>T2 - Стул ИЗО (хром)</v>
      </c>
      <c r="D212" s="21">
        <v>10</v>
      </c>
      <c r="E212" s="21"/>
      <c r="F212" s="21"/>
      <c r="G212" s="24"/>
      <c r="H212" s="24"/>
      <c r="I212" s="24"/>
      <c r="J212" s="24"/>
      <c r="K212" s="24"/>
      <c r="L212" s="24"/>
      <c r="M212" s="24"/>
      <c r="N212" s="172"/>
      <c r="O212" s="25"/>
      <c r="P212" s="20"/>
      <c r="Q212" s="25"/>
      <c r="R212" s="20"/>
      <c r="S212" s="20"/>
      <c r="T212" s="25"/>
      <c r="U212" s="20"/>
      <c r="V212" s="20"/>
      <c r="W212" s="25"/>
      <c r="X212" s="20"/>
      <c r="Y212" s="20"/>
      <c r="Z212" s="20"/>
      <c r="AA212" s="25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</row>
    <row r="213" spans="1:39" s="23" customFormat="1" x14ac:dyDescent="0.35">
      <c r="A213" s="20"/>
      <c r="B213" s="21"/>
      <c r="C213" s="132" t="s">
        <v>185</v>
      </c>
      <c r="D213" s="21">
        <v>1</v>
      </c>
      <c r="E213" s="21"/>
      <c r="F213" s="21"/>
      <c r="G213" s="24"/>
      <c r="H213" s="24"/>
      <c r="I213" s="24"/>
      <c r="J213" s="24"/>
      <c r="K213" s="24"/>
      <c r="L213" s="24"/>
      <c r="M213" s="24"/>
      <c r="N213" s="172"/>
      <c r="O213" s="25"/>
      <c r="P213" s="20"/>
      <c r="Q213" s="25"/>
      <c r="R213" s="20"/>
      <c r="S213" s="20"/>
      <c r="T213" s="25"/>
      <c r="U213" s="20"/>
      <c r="V213" s="20"/>
      <c r="W213" s="25"/>
      <c r="X213" s="20"/>
      <c r="Y213" s="20"/>
      <c r="Z213" s="20"/>
      <c r="AA213" s="25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</row>
    <row r="214" spans="1:39" s="23" customFormat="1" x14ac:dyDescent="0.35">
      <c r="A214" s="20"/>
      <c r="B214" s="21"/>
      <c r="C214" s="132" t="str">
        <f>C87</f>
        <v>Корзина для мусора</v>
      </c>
      <c r="D214" s="21">
        <v>1</v>
      </c>
      <c r="E214" s="21"/>
      <c r="F214" s="21"/>
      <c r="G214" s="24"/>
      <c r="H214" s="24"/>
      <c r="I214" s="24"/>
      <c r="J214" s="24"/>
      <c r="K214" s="24"/>
      <c r="L214" s="24"/>
      <c r="M214" s="24"/>
      <c r="N214" s="172"/>
      <c r="O214" s="25"/>
      <c r="P214" s="20"/>
      <c r="Q214" s="25"/>
      <c r="R214" s="20"/>
      <c r="S214" s="20"/>
      <c r="T214" s="25"/>
      <c r="U214" s="20"/>
      <c r="V214" s="20"/>
      <c r="W214" s="25"/>
      <c r="X214" s="20"/>
      <c r="Y214" s="20"/>
      <c r="Z214" s="20"/>
      <c r="AA214" s="25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</row>
    <row r="215" spans="1:39" s="23" customFormat="1" x14ac:dyDescent="0.35">
      <c r="A215" s="20"/>
      <c r="B215" s="21"/>
      <c r="C215" s="132" t="str">
        <f>C84</f>
        <v>Вешалка напольная</v>
      </c>
      <c r="D215" s="21">
        <v>2</v>
      </c>
      <c r="E215" s="21"/>
      <c r="F215" s="21"/>
      <c r="G215" s="24"/>
      <c r="H215" s="24"/>
      <c r="I215" s="24"/>
      <c r="J215" s="24"/>
      <c r="K215" s="24"/>
      <c r="L215" s="24"/>
      <c r="M215" s="24"/>
      <c r="N215" s="172"/>
      <c r="O215" s="25"/>
      <c r="P215" s="20"/>
      <c r="Q215" s="25"/>
      <c r="R215" s="20"/>
      <c r="S215" s="20"/>
      <c r="T215" s="25"/>
      <c r="U215" s="20"/>
      <c r="V215" s="20"/>
      <c r="W215" s="25"/>
      <c r="X215" s="20"/>
      <c r="Y215" s="20"/>
      <c r="Z215" s="20"/>
      <c r="AA215" s="25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</row>
    <row r="216" spans="1:39" s="23" customFormat="1" x14ac:dyDescent="0.35">
      <c r="A216" s="20"/>
      <c r="B216" s="21"/>
      <c r="C216" s="133" t="s">
        <v>189</v>
      </c>
      <c r="D216" s="44">
        <v>1</v>
      </c>
      <c r="E216" s="21"/>
      <c r="F216" s="21"/>
      <c r="G216" s="24"/>
      <c r="H216" s="24"/>
      <c r="I216" s="24"/>
      <c r="J216" s="24"/>
      <c r="K216" s="24"/>
      <c r="L216" s="24"/>
      <c r="M216" s="24"/>
      <c r="N216" s="172"/>
      <c r="O216" s="25"/>
      <c r="P216" s="20"/>
      <c r="Q216" s="25"/>
      <c r="R216" s="20"/>
      <c r="S216" s="20"/>
      <c r="T216" s="25"/>
      <c r="U216" s="20"/>
      <c r="V216" s="20"/>
      <c r="W216" s="25"/>
      <c r="X216" s="20"/>
      <c r="Y216" s="20"/>
      <c r="Z216" s="20"/>
      <c r="AA216" s="25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</row>
    <row r="217" spans="1:39" x14ac:dyDescent="0.35">
      <c r="A217" s="161">
        <v>44470</v>
      </c>
      <c r="B217" s="159"/>
      <c r="C217" s="38" t="s">
        <v>246</v>
      </c>
      <c r="D217" s="39" t="s">
        <v>13</v>
      </c>
      <c r="E217" s="38"/>
      <c r="F217" s="38" t="s">
        <v>182</v>
      </c>
      <c r="G217" s="40"/>
      <c r="I217" s="40"/>
      <c r="J217" s="40"/>
      <c r="K217" s="40"/>
      <c r="L217" s="40"/>
      <c r="M217" s="40"/>
      <c r="O217" s="41">
        <f t="shared" ref="O217:AM217" si="583">ROUND(($D$218*O$194+$D$219*O$96+$D$220*O$197+$D$221*1+$D$222*O$193+$D$223*O$196+$D$224*O$199+$D$225*O$88+$D$226*O$84)*0.9,-1)</f>
        <v>9600</v>
      </c>
      <c r="P217" s="41">
        <f t="shared" si="583"/>
        <v>9600</v>
      </c>
      <c r="Q217" s="41">
        <f t="shared" si="583"/>
        <v>6760</v>
      </c>
      <c r="R217" s="41">
        <f t="shared" si="583"/>
        <v>6760</v>
      </c>
      <c r="S217" s="41">
        <f t="shared" si="583"/>
        <v>6760</v>
      </c>
      <c r="T217" s="41">
        <f t="shared" si="583"/>
        <v>4880</v>
      </c>
      <c r="U217" s="41">
        <f t="shared" si="583"/>
        <v>4880</v>
      </c>
      <c r="V217" s="41">
        <f t="shared" si="583"/>
        <v>4880</v>
      </c>
      <c r="W217" s="41">
        <f t="shared" si="583"/>
        <v>4080</v>
      </c>
      <c r="X217" s="41">
        <f t="shared" si="583"/>
        <v>4080</v>
      </c>
      <c r="Y217" s="41">
        <f t="shared" si="583"/>
        <v>4080</v>
      </c>
      <c r="Z217" s="41">
        <f t="shared" si="583"/>
        <v>4080</v>
      </c>
      <c r="AA217" s="41">
        <f t="shared" si="583"/>
        <v>3500</v>
      </c>
      <c r="AB217" s="41">
        <f t="shared" si="583"/>
        <v>3500</v>
      </c>
      <c r="AC217" s="41">
        <f t="shared" si="583"/>
        <v>3500</v>
      </c>
      <c r="AD217" s="41">
        <f t="shared" si="583"/>
        <v>3500</v>
      </c>
      <c r="AE217" s="41">
        <f t="shared" si="583"/>
        <v>3500</v>
      </c>
      <c r="AF217" s="41">
        <f t="shared" si="583"/>
        <v>3500</v>
      </c>
      <c r="AG217" s="41">
        <f t="shared" si="583"/>
        <v>3500</v>
      </c>
      <c r="AH217" s="41">
        <f t="shared" si="583"/>
        <v>3500</v>
      </c>
      <c r="AI217" s="41">
        <f t="shared" si="583"/>
        <v>3500</v>
      </c>
      <c r="AJ217" s="41">
        <f t="shared" si="583"/>
        <v>3500</v>
      </c>
      <c r="AK217" s="41">
        <f t="shared" si="583"/>
        <v>3500</v>
      </c>
      <c r="AL217" s="41">
        <f t="shared" si="583"/>
        <v>3500</v>
      </c>
      <c r="AM217" s="41">
        <f t="shared" si="583"/>
        <v>3500</v>
      </c>
    </row>
    <row r="218" spans="1:39" s="23" customFormat="1" x14ac:dyDescent="0.35">
      <c r="A218" s="20"/>
      <c r="B218" s="21"/>
      <c r="C218" s="129" t="str">
        <f>C194</f>
        <v>T2 - Стол 160 х 80 см</v>
      </c>
      <c r="D218" s="21">
        <v>1</v>
      </c>
      <c r="E218" s="21"/>
      <c r="F218" s="21"/>
      <c r="G218" s="24"/>
      <c r="H218" s="24"/>
      <c r="I218" s="24"/>
      <c r="J218" s="24"/>
      <c r="K218" s="24"/>
      <c r="L218" s="24"/>
      <c r="M218" s="24"/>
      <c r="N218" s="172"/>
      <c r="O218" s="25"/>
      <c r="P218" s="20"/>
      <c r="Q218" s="25"/>
      <c r="R218" s="20"/>
      <c r="S218" s="20"/>
      <c r="T218" s="25"/>
      <c r="U218" s="20"/>
      <c r="V218" s="20"/>
      <c r="W218" s="25"/>
      <c r="X218" s="20"/>
      <c r="Y218" s="20"/>
      <c r="Z218" s="20"/>
      <c r="AA218" s="25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</row>
    <row r="219" spans="1:39" s="23" customFormat="1" x14ac:dyDescent="0.35">
      <c r="A219" s="20"/>
      <c r="B219" s="21"/>
      <c r="C219" s="134" t="str">
        <f>C96</f>
        <v>T3 - Кресло офисное</v>
      </c>
      <c r="D219" s="21">
        <v>1</v>
      </c>
      <c r="E219" s="21"/>
      <c r="F219" s="21"/>
      <c r="G219" s="24"/>
      <c r="H219" s="24"/>
      <c r="I219" s="24"/>
      <c r="J219" s="24"/>
      <c r="K219" s="24"/>
      <c r="L219" s="24"/>
      <c r="M219" s="24"/>
      <c r="N219" s="172"/>
      <c r="O219" s="25"/>
      <c r="P219" s="20"/>
      <c r="Q219" s="25"/>
      <c r="R219" s="20"/>
      <c r="S219" s="20"/>
      <c r="T219" s="25"/>
      <c r="U219" s="20"/>
      <c r="V219" s="20"/>
      <c r="W219" s="25"/>
      <c r="X219" s="20"/>
      <c r="Y219" s="20"/>
      <c r="Z219" s="20"/>
      <c r="AA219" s="25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</row>
    <row r="220" spans="1:39" s="23" customFormat="1" x14ac:dyDescent="0.35">
      <c r="A220" s="20"/>
      <c r="B220" s="21"/>
      <c r="C220" s="129" t="str">
        <f>C197</f>
        <v>T2 - Тумба ДСП</v>
      </c>
      <c r="D220" s="21">
        <v>1</v>
      </c>
      <c r="E220" s="21"/>
      <c r="F220" s="21"/>
      <c r="G220" s="24"/>
      <c r="H220" s="24"/>
      <c r="I220" s="24"/>
      <c r="J220" s="24"/>
      <c r="K220" s="24"/>
      <c r="L220" s="24"/>
      <c r="M220" s="24"/>
      <c r="N220" s="172"/>
      <c r="O220" s="25"/>
      <c r="P220" s="20"/>
      <c r="Q220" s="25"/>
      <c r="R220" s="20"/>
      <c r="S220" s="20"/>
      <c r="T220" s="25"/>
      <c r="U220" s="20"/>
      <c r="V220" s="20"/>
      <c r="W220" s="25"/>
      <c r="X220" s="20"/>
      <c r="Y220" s="20"/>
      <c r="Z220" s="20"/>
      <c r="AA220" s="25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</row>
    <row r="221" spans="1:39" s="23" customFormat="1" x14ac:dyDescent="0.35">
      <c r="A221" s="20"/>
      <c r="B221" s="21"/>
      <c r="C221" s="130" t="str">
        <f>C87</f>
        <v>Корзина для мусора</v>
      </c>
      <c r="D221" s="21">
        <v>1</v>
      </c>
      <c r="E221" s="21"/>
      <c r="F221" s="21"/>
      <c r="G221" s="24"/>
      <c r="H221" s="24"/>
      <c r="I221" s="24"/>
      <c r="J221" s="24"/>
      <c r="K221" s="24"/>
      <c r="L221" s="24"/>
      <c r="M221" s="24"/>
      <c r="N221" s="172"/>
      <c r="O221" s="25"/>
      <c r="P221" s="20"/>
      <c r="Q221" s="25"/>
      <c r="R221" s="20"/>
      <c r="S221" s="20"/>
      <c r="T221" s="25"/>
      <c r="U221" s="20"/>
      <c r="V221" s="20"/>
      <c r="W221" s="25"/>
      <c r="X221" s="20"/>
      <c r="Y221" s="20"/>
      <c r="Z221" s="20"/>
      <c r="AA221" s="25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</row>
    <row r="222" spans="1:39" s="23" customFormat="1" x14ac:dyDescent="0.35">
      <c r="A222" s="20"/>
      <c r="B222" s="21"/>
      <c r="C222" s="129" t="str">
        <f>C193</f>
        <v>T2 - Стол 120 х 60 см</v>
      </c>
      <c r="D222" s="21">
        <v>1</v>
      </c>
      <c r="E222" s="21"/>
      <c r="F222" s="21"/>
      <c r="G222" s="24"/>
      <c r="H222" s="24"/>
      <c r="I222" s="24"/>
      <c r="J222" s="24"/>
      <c r="K222" s="24"/>
      <c r="L222" s="24"/>
      <c r="M222" s="24"/>
      <c r="N222" s="172"/>
      <c r="O222" s="25"/>
      <c r="P222" s="20"/>
      <c r="Q222" s="25"/>
      <c r="R222" s="20"/>
      <c r="S222" s="20"/>
      <c r="T222" s="25"/>
      <c r="U222" s="20"/>
      <c r="V222" s="20"/>
      <c r="W222" s="25"/>
      <c r="X222" s="20"/>
      <c r="Y222" s="20"/>
      <c r="Z222" s="20"/>
      <c r="AA222" s="25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</row>
    <row r="223" spans="1:39" s="23" customFormat="1" x14ac:dyDescent="0.35">
      <c r="A223" s="20"/>
      <c r="B223" s="21"/>
      <c r="C223" s="129" t="str">
        <f>C196</f>
        <v>T2 - Стул ИЗО (хром)</v>
      </c>
      <c r="D223" s="21">
        <v>2</v>
      </c>
      <c r="E223" s="21"/>
      <c r="F223" s="21"/>
      <c r="G223" s="24"/>
      <c r="H223" s="24"/>
      <c r="I223" s="24"/>
      <c r="J223" s="24"/>
      <c r="K223" s="24"/>
      <c r="L223" s="24"/>
      <c r="M223" s="24"/>
      <c r="N223" s="172"/>
      <c r="O223" s="25"/>
      <c r="P223" s="20"/>
      <c r="Q223" s="25"/>
      <c r="R223" s="20"/>
      <c r="S223" s="20"/>
      <c r="T223" s="25"/>
      <c r="U223" s="20"/>
      <c r="V223" s="20"/>
      <c r="W223" s="25"/>
      <c r="X223" s="20"/>
      <c r="Y223" s="20"/>
      <c r="Z223" s="20"/>
      <c r="AA223" s="25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</row>
    <row r="224" spans="1:39" s="23" customFormat="1" x14ac:dyDescent="0.35">
      <c r="A224" s="20"/>
      <c r="B224" s="21"/>
      <c r="C224" s="129" t="str">
        <f>C198</f>
        <v>T2 - Шкаф офисный для документов</v>
      </c>
      <c r="D224" s="21">
        <v>1</v>
      </c>
      <c r="E224" s="21"/>
      <c r="F224" s="21"/>
      <c r="G224" s="24"/>
      <c r="H224" s="24"/>
      <c r="I224" s="24"/>
      <c r="J224" s="24"/>
      <c r="K224" s="24"/>
      <c r="L224" s="24"/>
      <c r="M224" s="24"/>
      <c r="N224" s="172"/>
      <c r="O224" s="25"/>
      <c r="P224" s="20"/>
      <c r="Q224" s="25"/>
      <c r="R224" s="20"/>
      <c r="S224" s="20"/>
      <c r="T224" s="25"/>
      <c r="U224" s="20"/>
      <c r="V224" s="20"/>
      <c r="W224" s="25"/>
      <c r="X224" s="20"/>
      <c r="Y224" s="20"/>
      <c r="Z224" s="20"/>
      <c r="AA224" s="25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</row>
    <row r="225" spans="1:41" s="23" customFormat="1" x14ac:dyDescent="0.35">
      <c r="A225" s="20"/>
      <c r="B225" s="21"/>
      <c r="C225" s="130" t="s">
        <v>185</v>
      </c>
      <c r="D225" s="21">
        <v>1</v>
      </c>
      <c r="E225" s="21"/>
      <c r="F225" s="21"/>
      <c r="G225" s="24"/>
      <c r="H225" s="24"/>
      <c r="I225" s="24"/>
      <c r="J225" s="24"/>
      <c r="K225" s="24"/>
      <c r="L225" s="24"/>
      <c r="M225" s="24"/>
      <c r="N225" s="172"/>
      <c r="O225" s="25"/>
      <c r="P225" s="20"/>
      <c r="Q225" s="25"/>
      <c r="R225" s="20"/>
      <c r="S225" s="20"/>
      <c r="T225" s="25"/>
      <c r="U225" s="20"/>
      <c r="V225" s="20"/>
      <c r="W225" s="25"/>
      <c r="X225" s="20"/>
      <c r="Y225" s="20"/>
      <c r="Z225" s="20"/>
      <c r="AA225" s="25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</row>
    <row r="226" spans="1:41" s="23" customFormat="1" x14ac:dyDescent="0.35">
      <c r="A226" s="20"/>
      <c r="B226" s="21"/>
      <c r="C226" s="129" t="str">
        <f>C84</f>
        <v>Вешалка напольная</v>
      </c>
      <c r="D226" s="21">
        <v>1</v>
      </c>
      <c r="E226" s="21"/>
      <c r="F226" s="21"/>
      <c r="G226" s="24"/>
      <c r="H226" s="24"/>
      <c r="I226" s="24"/>
      <c r="J226" s="24"/>
      <c r="K226" s="24"/>
      <c r="L226" s="24"/>
      <c r="M226" s="24"/>
      <c r="N226" s="172"/>
      <c r="O226" s="25"/>
      <c r="P226" s="20"/>
      <c r="Q226" s="25"/>
      <c r="R226" s="20"/>
      <c r="S226" s="20"/>
      <c r="T226" s="25"/>
      <c r="U226" s="20"/>
      <c r="V226" s="20"/>
      <c r="W226" s="25"/>
      <c r="X226" s="20"/>
      <c r="Y226" s="20"/>
      <c r="Z226" s="20"/>
      <c r="AA226" s="25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</row>
    <row r="227" spans="1:41" x14ac:dyDescent="0.35">
      <c r="A227" s="161">
        <v>44470</v>
      </c>
      <c r="B227" s="159"/>
      <c r="C227" s="38" t="s">
        <v>249</v>
      </c>
      <c r="D227" s="39" t="s">
        <v>13</v>
      </c>
      <c r="E227" s="38"/>
      <c r="F227" s="38" t="s">
        <v>182</v>
      </c>
      <c r="G227" s="40"/>
      <c r="I227" s="40"/>
      <c r="J227" s="40"/>
      <c r="K227" s="40"/>
      <c r="L227" s="40"/>
      <c r="M227" s="40"/>
      <c r="O227" s="41">
        <f t="shared" ref="O227:AM227" si="584">ROUND(($D$228*O$194+$D$229*O$96+$D$230*O$197+$D$231*1)*0.9,-1)</f>
        <v>5180</v>
      </c>
      <c r="P227" s="41">
        <f t="shared" si="584"/>
        <v>5180</v>
      </c>
      <c r="Q227" s="41">
        <f t="shared" si="584"/>
        <v>3630</v>
      </c>
      <c r="R227" s="41">
        <f t="shared" si="584"/>
        <v>3630</v>
      </c>
      <c r="S227" s="41">
        <f t="shared" si="584"/>
        <v>3630</v>
      </c>
      <c r="T227" s="41">
        <f t="shared" si="584"/>
        <v>2660</v>
      </c>
      <c r="U227" s="41">
        <f t="shared" si="584"/>
        <v>2660</v>
      </c>
      <c r="V227" s="41">
        <f t="shared" si="584"/>
        <v>2660</v>
      </c>
      <c r="W227" s="41">
        <f t="shared" si="584"/>
        <v>2220</v>
      </c>
      <c r="X227" s="41">
        <f t="shared" si="584"/>
        <v>2220</v>
      </c>
      <c r="Y227" s="41">
        <f t="shared" si="584"/>
        <v>2220</v>
      </c>
      <c r="Z227" s="41">
        <f t="shared" si="584"/>
        <v>2220</v>
      </c>
      <c r="AA227" s="41">
        <f t="shared" si="584"/>
        <v>1910</v>
      </c>
      <c r="AB227" s="41">
        <f t="shared" si="584"/>
        <v>1910</v>
      </c>
      <c r="AC227" s="41">
        <f t="shared" si="584"/>
        <v>1910</v>
      </c>
      <c r="AD227" s="41">
        <f t="shared" si="584"/>
        <v>1910</v>
      </c>
      <c r="AE227" s="41">
        <f t="shared" si="584"/>
        <v>1910</v>
      </c>
      <c r="AF227" s="41">
        <f t="shared" si="584"/>
        <v>1910</v>
      </c>
      <c r="AG227" s="41">
        <f t="shared" si="584"/>
        <v>1910</v>
      </c>
      <c r="AH227" s="41">
        <f t="shared" si="584"/>
        <v>1910</v>
      </c>
      <c r="AI227" s="41">
        <f t="shared" si="584"/>
        <v>1910</v>
      </c>
      <c r="AJ227" s="41">
        <f t="shared" si="584"/>
        <v>1910</v>
      </c>
      <c r="AK227" s="41">
        <f t="shared" si="584"/>
        <v>1910</v>
      </c>
      <c r="AL227" s="41">
        <f t="shared" si="584"/>
        <v>1910</v>
      </c>
      <c r="AM227" s="41">
        <f t="shared" si="584"/>
        <v>1910</v>
      </c>
    </row>
    <row r="228" spans="1:41" s="23" customFormat="1" x14ac:dyDescent="0.35">
      <c r="A228" s="20"/>
      <c r="B228" s="21"/>
      <c r="C228" s="22" t="str">
        <f>C194</f>
        <v>T2 - Стол 160 х 80 см</v>
      </c>
      <c r="D228" s="21">
        <v>1</v>
      </c>
      <c r="E228" s="21"/>
      <c r="F228" s="21"/>
      <c r="G228" s="24"/>
      <c r="H228" s="24"/>
      <c r="I228" s="24"/>
      <c r="J228" s="24"/>
      <c r="K228" s="24"/>
      <c r="L228" s="24"/>
      <c r="M228" s="24"/>
      <c r="N228" s="172"/>
      <c r="O228" s="25"/>
      <c r="P228" s="20"/>
      <c r="Q228" s="25"/>
      <c r="R228" s="20"/>
      <c r="S228" s="20"/>
      <c r="T228" s="25"/>
      <c r="U228" s="20"/>
      <c r="V228" s="20"/>
      <c r="W228" s="25"/>
      <c r="X228" s="20"/>
      <c r="Y228" s="20"/>
      <c r="Z228" s="20"/>
      <c r="AA228" s="25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</row>
    <row r="229" spans="1:41" s="23" customFormat="1" x14ac:dyDescent="0.35">
      <c r="A229" s="20"/>
      <c r="B229" s="21"/>
      <c r="C229" s="27" t="str">
        <f>C96</f>
        <v>T3 - Кресло офисное</v>
      </c>
      <c r="D229" s="21">
        <v>1</v>
      </c>
      <c r="E229" s="21"/>
      <c r="F229" s="21"/>
      <c r="G229" s="24"/>
      <c r="H229" s="24"/>
      <c r="I229" s="24"/>
      <c r="J229" s="24"/>
      <c r="K229" s="24"/>
      <c r="L229" s="24"/>
      <c r="M229" s="24"/>
      <c r="N229" s="172"/>
      <c r="O229" s="25"/>
      <c r="P229" s="20"/>
      <c r="Q229" s="25"/>
      <c r="R229" s="20"/>
      <c r="S229" s="20"/>
      <c r="T229" s="25"/>
      <c r="U229" s="20"/>
      <c r="V229" s="20"/>
      <c r="W229" s="25"/>
      <c r="X229" s="20"/>
      <c r="Y229" s="20"/>
      <c r="Z229" s="20"/>
      <c r="AA229" s="25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</row>
    <row r="230" spans="1:41" s="23" customFormat="1" x14ac:dyDescent="0.35">
      <c r="A230" s="20"/>
      <c r="B230" s="21"/>
      <c r="C230" s="22" t="str">
        <f>C197</f>
        <v>T2 - Тумба ДСП</v>
      </c>
      <c r="D230" s="21">
        <v>1</v>
      </c>
      <c r="E230" s="21"/>
      <c r="F230" s="21"/>
      <c r="G230" s="24"/>
      <c r="H230" s="24"/>
      <c r="I230" s="24"/>
      <c r="J230" s="24"/>
      <c r="K230" s="24"/>
      <c r="L230" s="24"/>
      <c r="M230" s="24"/>
      <c r="N230" s="172"/>
      <c r="O230" s="25"/>
      <c r="P230" s="20"/>
      <c r="Q230" s="25"/>
      <c r="R230" s="20"/>
      <c r="S230" s="20"/>
      <c r="T230" s="25"/>
      <c r="U230" s="20"/>
      <c r="V230" s="20"/>
      <c r="W230" s="25"/>
      <c r="X230" s="20"/>
      <c r="Y230" s="20"/>
      <c r="Z230" s="20"/>
      <c r="AA230" s="25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</row>
    <row r="231" spans="1:41" s="23" customFormat="1" x14ac:dyDescent="0.35">
      <c r="A231" s="20"/>
      <c r="B231" s="21"/>
      <c r="C231" s="130" t="str">
        <f>C87</f>
        <v>Корзина для мусора</v>
      </c>
      <c r="D231" s="21">
        <v>1</v>
      </c>
      <c r="E231" s="21"/>
      <c r="F231" s="21"/>
      <c r="G231" s="24"/>
      <c r="H231" s="24"/>
      <c r="I231" s="24"/>
      <c r="J231" s="24"/>
      <c r="K231" s="24"/>
      <c r="L231" s="24"/>
      <c r="M231" s="24"/>
      <c r="N231" s="172"/>
      <c r="O231" s="25"/>
      <c r="P231" s="20"/>
      <c r="Q231" s="25"/>
      <c r="R231" s="20"/>
      <c r="S231" s="20"/>
      <c r="T231" s="25"/>
      <c r="U231" s="20"/>
      <c r="V231" s="20"/>
      <c r="W231" s="25"/>
      <c r="X231" s="20"/>
      <c r="Y231" s="20"/>
      <c r="Z231" s="20"/>
      <c r="AA231" s="25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</row>
    <row r="232" spans="1:41" x14ac:dyDescent="0.35">
      <c r="A232" s="161">
        <v>44470</v>
      </c>
      <c r="B232" s="159"/>
      <c r="C232" s="128" t="str">
        <f>C192</f>
        <v>T2 - Мини-кухня</v>
      </c>
      <c r="D232" s="39" t="s">
        <v>13</v>
      </c>
      <c r="E232" s="38"/>
      <c r="F232" s="38" t="s">
        <v>182</v>
      </c>
      <c r="G232" s="40"/>
      <c r="I232" s="40"/>
      <c r="J232" s="40"/>
      <c r="K232" s="40"/>
      <c r="L232" s="40"/>
      <c r="M232" s="40"/>
      <c r="O232" s="41">
        <f>O192</f>
        <v>13250</v>
      </c>
      <c r="P232" s="41">
        <f t="shared" ref="P232:AM232" si="585">P192</f>
        <v>13250</v>
      </c>
      <c r="Q232" s="41">
        <f t="shared" si="585"/>
        <v>8830</v>
      </c>
      <c r="R232" s="41">
        <f t="shared" si="585"/>
        <v>8830</v>
      </c>
      <c r="S232" s="41">
        <f t="shared" si="585"/>
        <v>8830</v>
      </c>
      <c r="T232" s="41">
        <f t="shared" si="585"/>
        <v>7230</v>
      </c>
      <c r="U232" s="41">
        <f t="shared" si="585"/>
        <v>7230</v>
      </c>
      <c r="V232" s="41">
        <f t="shared" si="585"/>
        <v>7230</v>
      </c>
      <c r="W232" s="41">
        <f t="shared" si="585"/>
        <v>6120</v>
      </c>
      <c r="X232" s="41">
        <f t="shared" si="585"/>
        <v>6120</v>
      </c>
      <c r="Y232" s="41">
        <f t="shared" si="585"/>
        <v>6120</v>
      </c>
      <c r="Z232" s="41">
        <f t="shared" si="585"/>
        <v>6120</v>
      </c>
      <c r="AA232" s="41">
        <f t="shared" si="585"/>
        <v>5300</v>
      </c>
      <c r="AB232" s="41">
        <f t="shared" si="585"/>
        <v>5300</v>
      </c>
      <c r="AC232" s="41">
        <f t="shared" si="585"/>
        <v>5300</v>
      </c>
      <c r="AD232" s="41">
        <f t="shared" si="585"/>
        <v>5300</v>
      </c>
      <c r="AE232" s="41">
        <f t="shared" si="585"/>
        <v>5300</v>
      </c>
      <c r="AF232" s="41">
        <f t="shared" si="585"/>
        <v>5300</v>
      </c>
      <c r="AG232" s="41">
        <f t="shared" si="585"/>
        <v>5300</v>
      </c>
      <c r="AH232" s="41">
        <f t="shared" si="585"/>
        <v>5300</v>
      </c>
      <c r="AI232" s="41">
        <f t="shared" si="585"/>
        <v>5300</v>
      </c>
      <c r="AJ232" s="41">
        <f t="shared" si="585"/>
        <v>5300</v>
      </c>
      <c r="AK232" s="41">
        <f t="shared" si="585"/>
        <v>5300</v>
      </c>
      <c r="AL232" s="41">
        <f t="shared" si="585"/>
        <v>5300</v>
      </c>
      <c r="AM232" s="41">
        <f t="shared" si="585"/>
        <v>5300</v>
      </c>
    </row>
    <row r="233" spans="1:41" x14ac:dyDescent="0.35">
      <c r="B233" s="3"/>
      <c r="C233" s="47" t="s">
        <v>324</v>
      </c>
      <c r="D233" s="3">
        <v>1</v>
      </c>
      <c r="E233" s="3"/>
      <c r="F233" s="3"/>
    </row>
    <row r="234" spans="1:41" x14ac:dyDescent="0.35">
      <c r="B234" s="104"/>
      <c r="C234" s="38" t="s">
        <v>250</v>
      </c>
      <c r="D234" s="39" t="s">
        <v>13</v>
      </c>
      <c r="E234" s="38"/>
      <c r="F234" s="38" t="s">
        <v>182</v>
      </c>
      <c r="G234" s="40"/>
      <c r="I234" s="40"/>
      <c r="J234" s="40"/>
      <c r="K234" s="40"/>
      <c r="L234" s="40"/>
      <c r="M234" s="40"/>
      <c r="O234" s="48">
        <v>1190</v>
      </c>
      <c r="P234" s="48">
        <v>1190</v>
      </c>
      <c r="Q234" s="48">
        <v>1190</v>
      </c>
      <c r="R234" s="48">
        <v>1190</v>
      </c>
      <c r="S234" s="48">
        <v>1190</v>
      </c>
      <c r="T234" s="48">
        <v>1190</v>
      </c>
      <c r="U234" s="48">
        <v>1190</v>
      </c>
      <c r="V234" s="48">
        <v>1190</v>
      </c>
      <c r="W234" s="48">
        <v>1190</v>
      </c>
      <c r="X234" s="48">
        <v>1190</v>
      </c>
      <c r="Y234" s="48">
        <v>1190</v>
      </c>
      <c r="Z234" s="48">
        <v>1190</v>
      </c>
      <c r="AA234" s="48">
        <v>1190</v>
      </c>
      <c r="AB234" s="48">
        <v>1190</v>
      </c>
      <c r="AC234" s="48">
        <v>1190</v>
      </c>
      <c r="AD234" s="48">
        <v>1190</v>
      </c>
      <c r="AE234" s="48">
        <v>1190</v>
      </c>
      <c r="AF234" s="48">
        <v>1190</v>
      </c>
      <c r="AG234" s="48">
        <v>1190</v>
      </c>
      <c r="AH234" s="48">
        <v>1190</v>
      </c>
      <c r="AI234" s="48">
        <v>1190</v>
      </c>
      <c r="AJ234" s="48">
        <v>1190</v>
      </c>
      <c r="AK234" s="48">
        <v>1190</v>
      </c>
      <c r="AL234" s="48">
        <v>1190</v>
      </c>
      <c r="AM234" s="48">
        <v>1190</v>
      </c>
    </row>
    <row r="235" spans="1:41" x14ac:dyDescent="0.35">
      <c r="B235" s="104"/>
      <c r="C235" s="47" t="s">
        <v>193</v>
      </c>
      <c r="D235" s="3" t="s">
        <v>198</v>
      </c>
      <c r="E235" s="3"/>
      <c r="F235" s="3"/>
    </row>
    <row r="236" spans="1:41" x14ac:dyDescent="0.35">
      <c r="B236" s="104"/>
      <c r="C236" s="47" t="s">
        <v>195</v>
      </c>
      <c r="D236" s="3" t="s">
        <v>199</v>
      </c>
      <c r="E236" s="3"/>
      <c r="F236" s="3"/>
    </row>
    <row r="237" spans="1:41" x14ac:dyDescent="0.35">
      <c r="B237" s="104"/>
      <c r="C237" s="47" t="s">
        <v>196</v>
      </c>
      <c r="D237" s="3" t="s">
        <v>200</v>
      </c>
      <c r="E237" s="3"/>
      <c r="F237" s="3"/>
    </row>
    <row r="238" spans="1:41" x14ac:dyDescent="0.35">
      <c r="B238" s="104"/>
      <c r="C238" s="47" t="s">
        <v>184</v>
      </c>
      <c r="D238" s="3" t="s">
        <v>201</v>
      </c>
      <c r="E238" s="3"/>
      <c r="F238" s="3"/>
    </row>
    <row r="239" spans="1:41" x14ac:dyDescent="0.35">
      <c r="B239" s="104"/>
      <c r="C239" s="47" t="s">
        <v>194</v>
      </c>
      <c r="D239" s="3" t="s">
        <v>201</v>
      </c>
      <c r="E239" s="3"/>
      <c r="F239" s="3"/>
    </row>
    <row r="240" spans="1:41" x14ac:dyDescent="0.35">
      <c r="A240" s="161">
        <v>44470</v>
      </c>
      <c r="B240" s="159"/>
      <c r="C240" s="38" t="s">
        <v>313</v>
      </c>
      <c r="D240" s="39" t="s">
        <v>13</v>
      </c>
      <c r="E240" s="38"/>
      <c r="F240" s="38" t="s">
        <v>182</v>
      </c>
      <c r="G240" s="40"/>
      <c r="I240" s="40"/>
      <c r="J240" s="40"/>
      <c r="K240" s="40"/>
      <c r="L240" s="40"/>
      <c r="M240" s="40"/>
      <c r="O240" s="41">
        <f>O175+1200</f>
        <v>7050</v>
      </c>
      <c r="P240" s="41">
        <f t="shared" ref="P240:AM240" si="586">P175+1200</f>
        <v>7050</v>
      </c>
      <c r="Q240" s="41">
        <f t="shared" si="586"/>
        <v>5120</v>
      </c>
      <c r="R240" s="41">
        <f t="shared" si="586"/>
        <v>5120</v>
      </c>
      <c r="S240" s="41">
        <f t="shared" si="586"/>
        <v>5120</v>
      </c>
      <c r="T240" s="41">
        <f t="shared" si="586"/>
        <v>4400</v>
      </c>
      <c r="U240" s="41">
        <f t="shared" si="586"/>
        <v>4400</v>
      </c>
      <c r="V240" s="41">
        <f t="shared" si="586"/>
        <v>4400</v>
      </c>
      <c r="W240" s="41">
        <f t="shared" si="586"/>
        <v>3900</v>
      </c>
      <c r="X240" s="41">
        <f t="shared" si="586"/>
        <v>3900</v>
      </c>
      <c r="Y240" s="41">
        <f t="shared" si="586"/>
        <v>3900</v>
      </c>
      <c r="Z240" s="41">
        <f t="shared" si="586"/>
        <v>3900</v>
      </c>
      <c r="AA240" s="41">
        <f t="shared" si="586"/>
        <v>3540</v>
      </c>
      <c r="AB240" s="41">
        <f t="shared" si="586"/>
        <v>3540</v>
      </c>
      <c r="AC240" s="41">
        <f t="shared" si="586"/>
        <v>3540</v>
      </c>
      <c r="AD240" s="41">
        <f t="shared" si="586"/>
        <v>3540</v>
      </c>
      <c r="AE240" s="41">
        <f t="shared" si="586"/>
        <v>3540</v>
      </c>
      <c r="AF240" s="41">
        <f t="shared" si="586"/>
        <v>3540</v>
      </c>
      <c r="AG240" s="41">
        <f t="shared" si="586"/>
        <v>3540</v>
      </c>
      <c r="AH240" s="41">
        <f t="shared" si="586"/>
        <v>3540</v>
      </c>
      <c r="AI240" s="41">
        <f t="shared" si="586"/>
        <v>3540</v>
      </c>
      <c r="AJ240" s="41">
        <f t="shared" si="586"/>
        <v>3540</v>
      </c>
      <c r="AK240" s="41">
        <f t="shared" si="586"/>
        <v>3540</v>
      </c>
      <c r="AL240" s="41">
        <f t="shared" si="586"/>
        <v>3540</v>
      </c>
      <c r="AM240" s="41">
        <f t="shared" si="586"/>
        <v>3540</v>
      </c>
      <c r="AN240" s="50"/>
      <c r="AO240" s="50"/>
    </row>
    <row r="241" spans="1:39" x14ac:dyDescent="0.35">
      <c r="B241" s="3"/>
      <c r="C241" s="2" t="s">
        <v>127</v>
      </c>
      <c r="D241" s="3">
        <v>5</v>
      </c>
      <c r="E241" s="3"/>
      <c r="F241" s="3"/>
    </row>
    <row r="242" spans="1:39" x14ac:dyDescent="0.35">
      <c r="B242" s="3"/>
      <c r="C242" s="105" t="s">
        <v>251</v>
      </c>
      <c r="D242" s="3"/>
      <c r="E242" s="3"/>
      <c r="F242" s="3"/>
    </row>
    <row r="243" spans="1:39" x14ac:dyDescent="0.35">
      <c r="A243" s="161">
        <v>44470</v>
      </c>
      <c r="B243" s="159"/>
      <c r="C243" s="38" t="s">
        <v>311</v>
      </c>
      <c r="D243" s="39" t="s">
        <v>13</v>
      </c>
      <c r="E243" s="38"/>
      <c r="F243" s="38" t="s">
        <v>182</v>
      </c>
      <c r="G243" s="40"/>
      <c r="I243" s="40"/>
      <c r="J243" s="40"/>
      <c r="K243" s="40"/>
      <c r="L243" s="40"/>
      <c r="M243" s="40"/>
      <c r="O243" s="41">
        <f>ROUND(($D$244*O$107+$D$245*O$101+$D$246*O$100)*0.9,-1)</f>
        <v>17210</v>
      </c>
      <c r="P243" s="41">
        <f t="shared" ref="P243:AM243" si="587">ROUND(($D$244*P$107+$D$245*P$101+$D$246*P$100+$D$247*$M$87)*0.9,-1)</f>
        <v>17590</v>
      </c>
      <c r="Q243" s="41">
        <f t="shared" si="587"/>
        <v>11870</v>
      </c>
      <c r="R243" s="41">
        <f t="shared" si="587"/>
        <v>11870</v>
      </c>
      <c r="S243" s="41">
        <f t="shared" si="587"/>
        <v>11870</v>
      </c>
      <c r="T243" s="41">
        <f t="shared" si="587"/>
        <v>8030</v>
      </c>
      <c r="U243" s="41">
        <f t="shared" si="587"/>
        <v>8030</v>
      </c>
      <c r="V243" s="41">
        <f t="shared" si="587"/>
        <v>8030</v>
      </c>
      <c r="W243" s="41">
        <f t="shared" si="587"/>
        <v>6980</v>
      </c>
      <c r="X243" s="41">
        <f t="shared" si="587"/>
        <v>6980</v>
      </c>
      <c r="Y243" s="41">
        <f t="shared" si="587"/>
        <v>6980</v>
      </c>
      <c r="Z243" s="41">
        <f t="shared" si="587"/>
        <v>6980</v>
      </c>
      <c r="AA243" s="41">
        <f t="shared" si="587"/>
        <v>6240</v>
      </c>
      <c r="AB243" s="41">
        <f t="shared" si="587"/>
        <v>6240</v>
      </c>
      <c r="AC243" s="41">
        <f t="shared" si="587"/>
        <v>6240</v>
      </c>
      <c r="AD243" s="41">
        <f t="shared" si="587"/>
        <v>6240</v>
      </c>
      <c r="AE243" s="41">
        <f t="shared" si="587"/>
        <v>6240</v>
      </c>
      <c r="AF243" s="41">
        <f t="shared" si="587"/>
        <v>6240</v>
      </c>
      <c r="AG243" s="41">
        <f t="shared" si="587"/>
        <v>6240</v>
      </c>
      <c r="AH243" s="41">
        <f t="shared" si="587"/>
        <v>6240</v>
      </c>
      <c r="AI243" s="41">
        <f t="shared" si="587"/>
        <v>6240</v>
      </c>
      <c r="AJ243" s="41">
        <f t="shared" si="587"/>
        <v>6240</v>
      </c>
      <c r="AK243" s="41">
        <f t="shared" si="587"/>
        <v>6240</v>
      </c>
      <c r="AL243" s="41">
        <f t="shared" si="587"/>
        <v>6240</v>
      </c>
      <c r="AM243" s="41">
        <f t="shared" si="587"/>
        <v>6240</v>
      </c>
    </row>
    <row r="244" spans="1:39" s="23" customFormat="1" x14ac:dyDescent="0.35">
      <c r="A244" s="20"/>
      <c r="B244" s="21"/>
      <c r="C244" s="49" t="str">
        <f>C107</f>
        <v>T3 - Шкаф д/одежды двухстворчатый 1750х800х500 мм</v>
      </c>
      <c r="D244" s="21">
        <v>5</v>
      </c>
      <c r="E244" s="21"/>
      <c r="F244" s="21"/>
      <c r="G244" s="24"/>
      <c r="H244" s="24"/>
      <c r="I244" s="24"/>
      <c r="J244" s="24"/>
      <c r="K244" s="24"/>
      <c r="L244" s="24"/>
      <c r="M244" s="24"/>
      <c r="N244" s="172"/>
      <c r="O244" s="25"/>
      <c r="P244" s="20"/>
      <c r="Q244" s="25"/>
      <c r="R244" s="20"/>
      <c r="S244" s="20"/>
      <c r="T244" s="25"/>
      <c r="U244" s="20"/>
      <c r="V244" s="20"/>
      <c r="W244" s="25"/>
      <c r="X244" s="20"/>
      <c r="Y244" s="20"/>
      <c r="Z244" s="20"/>
      <c r="AA244" s="25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</row>
    <row r="245" spans="1:39" s="23" customFormat="1" x14ac:dyDescent="0.35">
      <c r="A245" s="20"/>
      <c r="B245" s="21"/>
      <c r="C245" s="49" t="str">
        <f>C101</f>
        <v>T3 - Стул ИЗО (черная рама)</v>
      </c>
      <c r="D245" s="21">
        <v>4</v>
      </c>
      <c r="E245" s="21"/>
      <c r="F245" s="21"/>
      <c r="G245" s="24"/>
      <c r="H245" s="24"/>
      <c r="I245" s="24"/>
      <c r="J245" s="24"/>
      <c r="K245" s="24"/>
      <c r="L245" s="24"/>
      <c r="M245" s="24"/>
      <c r="N245" s="172"/>
      <c r="O245" s="25"/>
      <c r="P245" s="20"/>
      <c r="Q245" s="25"/>
      <c r="R245" s="20"/>
      <c r="S245" s="20"/>
      <c r="T245" s="25"/>
      <c r="U245" s="20"/>
      <c r="V245" s="20"/>
      <c r="W245" s="25"/>
      <c r="X245" s="20"/>
      <c r="Y245" s="20"/>
      <c r="Z245" s="20"/>
      <c r="AA245" s="25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</row>
    <row r="246" spans="1:39" s="23" customFormat="1" x14ac:dyDescent="0.35">
      <c r="A246" s="20"/>
      <c r="B246" s="21"/>
      <c r="C246" s="22" t="str">
        <f>C100</f>
        <v>T3 - Стол 80 х 80 см</v>
      </c>
      <c r="D246" s="21">
        <v>2</v>
      </c>
      <c r="E246" s="21"/>
      <c r="F246" s="21"/>
      <c r="G246" s="24"/>
      <c r="H246" s="24"/>
      <c r="I246" s="24"/>
      <c r="J246" s="24"/>
      <c r="K246" s="24"/>
      <c r="L246" s="24"/>
      <c r="M246" s="24"/>
      <c r="N246" s="172"/>
      <c r="O246" s="25"/>
      <c r="P246" s="20"/>
      <c r="Q246" s="25"/>
      <c r="R246" s="20"/>
      <c r="S246" s="20"/>
      <c r="T246" s="25"/>
      <c r="U246" s="20"/>
      <c r="V246" s="20"/>
      <c r="W246" s="25"/>
      <c r="X246" s="20"/>
      <c r="Y246" s="20"/>
      <c r="Z246" s="20"/>
      <c r="AA246" s="25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</row>
    <row r="247" spans="1:39" s="23" customFormat="1" x14ac:dyDescent="0.35">
      <c r="A247" s="20"/>
      <c r="B247" s="21"/>
      <c r="C247" s="22" t="str">
        <f>C87</f>
        <v>Корзина для мусора</v>
      </c>
      <c r="D247" s="21">
        <v>1</v>
      </c>
      <c r="E247" s="21"/>
      <c r="F247" s="21"/>
      <c r="G247" s="24"/>
      <c r="H247" s="24"/>
      <c r="I247" s="24"/>
      <c r="J247" s="24"/>
      <c r="K247" s="24"/>
      <c r="L247" s="24"/>
      <c r="M247" s="24"/>
      <c r="N247" s="172"/>
      <c r="O247" s="25"/>
      <c r="P247" s="20"/>
      <c r="Q247" s="25"/>
      <c r="R247" s="20"/>
      <c r="S247" s="20"/>
      <c r="T247" s="25"/>
      <c r="U247" s="20"/>
      <c r="V247" s="20"/>
      <c r="W247" s="25"/>
      <c r="X247" s="20"/>
      <c r="Y247" s="20"/>
      <c r="Z247" s="20"/>
      <c r="AA247" s="25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</row>
    <row r="248" spans="1:39" x14ac:dyDescent="0.35">
      <c r="B248" s="3"/>
      <c r="C248" s="3"/>
      <c r="D248" s="3"/>
      <c r="E248" s="3"/>
      <c r="F248" s="3"/>
    </row>
    <row r="250" spans="1:39" x14ac:dyDescent="0.35">
      <c r="B250" s="11"/>
      <c r="C250" s="164" t="s">
        <v>256</v>
      </c>
      <c r="D250" s="8" t="s">
        <v>13</v>
      </c>
      <c r="E250" s="12"/>
      <c r="F250" s="12" t="s">
        <v>169</v>
      </c>
      <c r="G250" s="107">
        <v>10100</v>
      </c>
      <c r="H250" s="107"/>
      <c r="I250" s="107">
        <v>10100</v>
      </c>
      <c r="J250" s="107">
        <v>12625</v>
      </c>
      <c r="K250" s="107"/>
      <c r="L250" s="122">
        <v>12625</v>
      </c>
      <c r="M250" s="122">
        <v>21000</v>
      </c>
      <c r="N250" s="171">
        <v>20833</v>
      </c>
      <c r="O250" s="18">
        <f t="shared" ref="O250:O261" si="588">ROUND(M250/5,-1)</f>
        <v>4200</v>
      </c>
      <c r="P250" s="14">
        <f t="shared" ref="P250:P261" si="589">O250</f>
        <v>4200</v>
      </c>
      <c r="Q250" s="18">
        <f t="shared" ref="Q250:Q261" si="590">ROUND(M250/7,-1)</f>
        <v>3000</v>
      </c>
      <c r="R250" s="14">
        <f t="shared" ref="R250" si="591">Q250</f>
        <v>3000</v>
      </c>
      <c r="S250" s="14">
        <f t="shared" ref="S250" si="592">Q250</f>
        <v>3000</v>
      </c>
      <c r="T250" s="18">
        <f t="shared" ref="T250:T261" si="593">ROUND(M250/10,-1)</f>
        <v>2100</v>
      </c>
      <c r="U250" s="14">
        <f t="shared" ref="U250" si="594">T250</f>
        <v>2100</v>
      </c>
      <c r="V250" s="14">
        <f t="shared" ref="V250" si="595">T250</f>
        <v>2100</v>
      </c>
      <c r="W250" s="18">
        <f t="shared" ref="W250:W261" si="596">ROUND(M250/12,-1)</f>
        <v>1750</v>
      </c>
      <c r="X250" s="14">
        <f t="shared" ref="X250" si="597">W250</f>
        <v>1750</v>
      </c>
      <c r="Y250" s="14">
        <f t="shared" ref="Y250" si="598">W250</f>
        <v>1750</v>
      </c>
      <c r="Z250" s="14">
        <f t="shared" ref="Z250" si="599">W250</f>
        <v>1750</v>
      </c>
      <c r="AA250" s="18">
        <f t="shared" ref="AA250:AA261" si="600">ROUND(M250/14,-1)</f>
        <v>1500</v>
      </c>
      <c r="AB250" s="14">
        <f t="shared" ref="AB250" si="601">AA250</f>
        <v>1500</v>
      </c>
      <c r="AC250" s="14">
        <f t="shared" ref="AC250" si="602">AB250</f>
        <v>1500</v>
      </c>
      <c r="AD250" s="14">
        <f t="shared" ref="AD250" si="603">AC250</f>
        <v>1500</v>
      </c>
      <c r="AE250" s="14">
        <f t="shared" ref="AE250" si="604">AD250</f>
        <v>1500</v>
      </c>
      <c r="AF250" s="14">
        <f t="shared" ref="AF250" si="605">AE250</f>
        <v>1500</v>
      </c>
      <c r="AG250" s="14">
        <f t="shared" ref="AG250" si="606">AF250</f>
        <v>1500</v>
      </c>
      <c r="AH250" s="14">
        <f t="shared" ref="AH250" si="607">AG250</f>
        <v>1500</v>
      </c>
      <c r="AI250" s="14">
        <f t="shared" ref="AI250" si="608">AH250</f>
        <v>1500</v>
      </c>
      <c r="AJ250" s="14">
        <f t="shared" ref="AJ250" si="609">AI250</f>
        <v>1500</v>
      </c>
      <c r="AK250" s="14">
        <f t="shared" ref="AK250" si="610">AJ250</f>
        <v>1500</v>
      </c>
      <c r="AL250" s="14">
        <f t="shared" ref="AL250" si="611">AK250</f>
        <v>1500</v>
      </c>
      <c r="AM250" s="14">
        <f t="shared" ref="AM250" si="612">AL250</f>
        <v>1500</v>
      </c>
    </row>
    <row r="251" spans="1:39" x14ac:dyDescent="0.35">
      <c r="A251" s="161">
        <v>44470</v>
      </c>
      <c r="B251" s="7"/>
      <c r="C251" s="164" t="s">
        <v>332</v>
      </c>
      <c r="D251" s="2" t="s">
        <v>13</v>
      </c>
      <c r="E251" s="2"/>
      <c r="F251" s="2" t="s">
        <v>169</v>
      </c>
      <c r="G251" s="107">
        <v>87000</v>
      </c>
      <c r="H251" s="107"/>
      <c r="I251" s="107">
        <v>87000</v>
      </c>
      <c r="J251" s="107">
        <v>190000</v>
      </c>
      <c r="K251" s="107"/>
      <c r="L251" s="107">
        <v>190000</v>
      </c>
      <c r="M251" s="107">
        <v>190000</v>
      </c>
      <c r="N251" s="171">
        <v>159000</v>
      </c>
      <c r="O251" s="18">
        <f t="shared" si="588"/>
        <v>38000</v>
      </c>
      <c r="P251" s="14">
        <f t="shared" si="589"/>
        <v>38000</v>
      </c>
      <c r="Q251" s="18">
        <f t="shared" si="590"/>
        <v>27140</v>
      </c>
      <c r="R251" s="14">
        <f t="shared" ref="R251:R260" si="613">Q251</f>
        <v>27140</v>
      </c>
      <c r="S251" s="14">
        <f t="shared" ref="S251:S260" si="614">Q251</f>
        <v>27140</v>
      </c>
      <c r="T251" s="18">
        <f t="shared" si="593"/>
        <v>19000</v>
      </c>
      <c r="U251" s="14">
        <f t="shared" ref="U251:U260" si="615">T251</f>
        <v>19000</v>
      </c>
      <c r="V251" s="14">
        <f t="shared" ref="V251:V260" si="616">T251</f>
        <v>19000</v>
      </c>
      <c r="W251" s="18">
        <f t="shared" si="596"/>
        <v>15830</v>
      </c>
      <c r="X251" s="14">
        <f t="shared" ref="X251:X260" si="617">W251</f>
        <v>15830</v>
      </c>
      <c r="Y251" s="14">
        <f t="shared" ref="Y251:Y260" si="618">W251</f>
        <v>15830</v>
      </c>
      <c r="Z251" s="14">
        <f t="shared" ref="Z251:Z260" si="619">W251</f>
        <v>15830</v>
      </c>
      <c r="AA251" s="18">
        <f t="shared" si="600"/>
        <v>13570</v>
      </c>
      <c r="AB251" s="14">
        <f t="shared" ref="AB251:AB260" si="620">AA251</f>
        <v>13570</v>
      </c>
      <c r="AC251" s="14">
        <f t="shared" ref="AC251:AC260" si="621">AB251</f>
        <v>13570</v>
      </c>
      <c r="AD251" s="14">
        <f t="shared" ref="AD251:AD260" si="622">AC251</f>
        <v>13570</v>
      </c>
      <c r="AE251" s="14">
        <f t="shared" ref="AE251:AE260" si="623">AD251</f>
        <v>13570</v>
      </c>
      <c r="AF251" s="14">
        <f t="shared" ref="AF251:AF260" si="624">AE251</f>
        <v>13570</v>
      </c>
      <c r="AG251" s="14">
        <f t="shared" ref="AG251:AG260" si="625">AF251</f>
        <v>13570</v>
      </c>
      <c r="AH251" s="14">
        <f t="shared" ref="AH251:AH260" si="626">AG251</f>
        <v>13570</v>
      </c>
      <c r="AI251" s="14">
        <f t="shared" ref="AI251:AI260" si="627">AH251</f>
        <v>13570</v>
      </c>
      <c r="AJ251" s="14">
        <f t="shared" ref="AJ251:AJ260" si="628">AI251</f>
        <v>13570</v>
      </c>
      <c r="AK251" s="14">
        <f t="shared" ref="AK251:AK260" si="629">AJ251</f>
        <v>13570</v>
      </c>
      <c r="AL251" s="14">
        <f t="shared" ref="AL251:AL260" si="630">AK251</f>
        <v>13570</v>
      </c>
      <c r="AM251" s="14">
        <f t="shared" ref="AM251:AM260" si="631">AL251</f>
        <v>13570</v>
      </c>
    </row>
    <row r="252" spans="1:39" x14ac:dyDescent="0.35">
      <c r="B252" s="1"/>
      <c r="C252" s="164" t="s">
        <v>271</v>
      </c>
      <c r="D252" s="2" t="s">
        <v>13</v>
      </c>
      <c r="E252" s="2"/>
      <c r="F252" s="2" t="s">
        <v>169</v>
      </c>
      <c r="G252" s="107">
        <v>6800</v>
      </c>
      <c r="H252" s="107"/>
      <c r="I252" s="107">
        <v>6800</v>
      </c>
      <c r="J252" s="107">
        <v>8500</v>
      </c>
      <c r="K252" s="107"/>
      <c r="L252" s="122">
        <v>8500</v>
      </c>
      <c r="M252" s="122">
        <v>9000</v>
      </c>
      <c r="N252" s="171">
        <v>9000</v>
      </c>
      <c r="O252" s="18">
        <f t="shared" si="588"/>
        <v>1800</v>
      </c>
      <c r="P252" s="14">
        <f t="shared" si="589"/>
        <v>1800</v>
      </c>
      <c r="Q252" s="18">
        <f t="shared" si="590"/>
        <v>1290</v>
      </c>
      <c r="R252" s="14">
        <f t="shared" si="613"/>
        <v>1290</v>
      </c>
      <c r="S252" s="14">
        <f t="shared" si="614"/>
        <v>1290</v>
      </c>
      <c r="T252" s="18">
        <f t="shared" si="593"/>
        <v>900</v>
      </c>
      <c r="U252" s="14">
        <f t="shared" si="615"/>
        <v>900</v>
      </c>
      <c r="V252" s="14">
        <f t="shared" si="616"/>
        <v>900</v>
      </c>
      <c r="W252" s="18">
        <f t="shared" si="596"/>
        <v>750</v>
      </c>
      <c r="X252" s="14">
        <f t="shared" si="617"/>
        <v>750</v>
      </c>
      <c r="Y252" s="14">
        <f t="shared" si="618"/>
        <v>750</v>
      </c>
      <c r="Z252" s="14">
        <f t="shared" si="619"/>
        <v>750</v>
      </c>
      <c r="AA252" s="18">
        <f t="shared" si="600"/>
        <v>640</v>
      </c>
      <c r="AB252" s="14">
        <f t="shared" si="620"/>
        <v>640</v>
      </c>
      <c r="AC252" s="14">
        <f t="shared" si="621"/>
        <v>640</v>
      </c>
      <c r="AD252" s="14">
        <f t="shared" si="622"/>
        <v>640</v>
      </c>
      <c r="AE252" s="14">
        <f t="shared" si="623"/>
        <v>640</v>
      </c>
      <c r="AF252" s="14">
        <f t="shared" si="624"/>
        <v>640</v>
      </c>
      <c r="AG252" s="14">
        <f t="shared" si="625"/>
        <v>640</v>
      </c>
      <c r="AH252" s="14">
        <f t="shared" si="626"/>
        <v>640</v>
      </c>
      <c r="AI252" s="14">
        <f t="shared" si="627"/>
        <v>640</v>
      </c>
      <c r="AJ252" s="14">
        <f t="shared" si="628"/>
        <v>640</v>
      </c>
      <c r="AK252" s="14">
        <f t="shared" si="629"/>
        <v>640</v>
      </c>
      <c r="AL252" s="14">
        <f t="shared" si="630"/>
        <v>640</v>
      </c>
      <c r="AM252" s="14">
        <f t="shared" si="631"/>
        <v>640</v>
      </c>
    </row>
    <row r="253" spans="1:39" x14ac:dyDescent="0.35">
      <c r="B253" s="1"/>
      <c r="C253" s="164" t="s">
        <v>253</v>
      </c>
      <c r="D253" s="2" t="s">
        <v>13</v>
      </c>
      <c r="E253" s="2"/>
      <c r="F253" s="2" t="s">
        <v>169</v>
      </c>
      <c r="G253" s="107">
        <v>7200</v>
      </c>
      <c r="H253" s="107"/>
      <c r="I253" s="107">
        <v>7200</v>
      </c>
      <c r="J253" s="107">
        <v>9000</v>
      </c>
      <c r="K253" s="107"/>
      <c r="L253" s="122">
        <v>9000</v>
      </c>
      <c r="M253" s="122">
        <v>12000</v>
      </c>
      <c r="N253" s="171">
        <v>10200</v>
      </c>
      <c r="O253" s="18">
        <f t="shared" si="588"/>
        <v>2400</v>
      </c>
      <c r="P253" s="14">
        <f t="shared" si="589"/>
        <v>2400</v>
      </c>
      <c r="Q253" s="18">
        <f t="shared" si="590"/>
        <v>1710</v>
      </c>
      <c r="R253" s="14">
        <f t="shared" si="613"/>
        <v>1710</v>
      </c>
      <c r="S253" s="14">
        <f t="shared" si="614"/>
        <v>1710</v>
      </c>
      <c r="T253" s="18">
        <f t="shared" si="593"/>
        <v>1200</v>
      </c>
      <c r="U253" s="14">
        <f t="shared" si="615"/>
        <v>1200</v>
      </c>
      <c r="V253" s="14">
        <f t="shared" si="616"/>
        <v>1200</v>
      </c>
      <c r="W253" s="18">
        <f t="shared" si="596"/>
        <v>1000</v>
      </c>
      <c r="X253" s="14">
        <f t="shared" si="617"/>
        <v>1000</v>
      </c>
      <c r="Y253" s="14">
        <f t="shared" si="618"/>
        <v>1000</v>
      </c>
      <c r="Z253" s="14">
        <f t="shared" si="619"/>
        <v>1000</v>
      </c>
      <c r="AA253" s="18">
        <f t="shared" si="600"/>
        <v>860</v>
      </c>
      <c r="AB253" s="14">
        <f t="shared" si="620"/>
        <v>860</v>
      </c>
      <c r="AC253" s="14">
        <f t="shared" si="621"/>
        <v>860</v>
      </c>
      <c r="AD253" s="14">
        <f t="shared" si="622"/>
        <v>860</v>
      </c>
      <c r="AE253" s="14">
        <f t="shared" si="623"/>
        <v>860</v>
      </c>
      <c r="AF253" s="14">
        <f t="shared" si="624"/>
        <v>860</v>
      </c>
      <c r="AG253" s="14">
        <f t="shared" si="625"/>
        <v>860</v>
      </c>
      <c r="AH253" s="14">
        <f t="shared" si="626"/>
        <v>860</v>
      </c>
      <c r="AI253" s="14">
        <f t="shared" si="627"/>
        <v>860</v>
      </c>
      <c r="AJ253" s="14">
        <f t="shared" si="628"/>
        <v>860</v>
      </c>
      <c r="AK253" s="14">
        <f t="shared" si="629"/>
        <v>860</v>
      </c>
      <c r="AL253" s="14">
        <f t="shared" si="630"/>
        <v>860</v>
      </c>
      <c r="AM253" s="14">
        <f t="shared" si="631"/>
        <v>860</v>
      </c>
    </row>
    <row r="254" spans="1:39" x14ac:dyDescent="0.35">
      <c r="B254" s="1"/>
      <c r="C254" s="164" t="s">
        <v>270</v>
      </c>
      <c r="D254" s="2" t="s">
        <v>13</v>
      </c>
      <c r="E254" s="2"/>
      <c r="F254" s="2" t="s">
        <v>169</v>
      </c>
      <c r="G254" s="107">
        <v>6800</v>
      </c>
      <c r="H254" s="107"/>
      <c r="I254" s="107">
        <v>6800</v>
      </c>
      <c r="J254" s="107">
        <v>8500</v>
      </c>
      <c r="K254" s="107"/>
      <c r="L254" s="107">
        <v>17300</v>
      </c>
      <c r="M254" s="107">
        <v>20700</v>
      </c>
      <c r="N254" s="171">
        <v>17250</v>
      </c>
      <c r="O254" s="18">
        <f t="shared" si="588"/>
        <v>4140</v>
      </c>
      <c r="P254" s="14">
        <f t="shared" si="589"/>
        <v>4140</v>
      </c>
      <c r="Q254" s="18">
        <f t="shared" si="590"/>
        <v>2960</v>
      </c>
      <c r="R254" s="14">
        <f t="shared" si="613"/>
        <v>2960</v>
      </c>
      <c r="S254" s="14">
        <f t="shared" si="614"/>
        <v>2960</v>
      </c>
      <c r="T254" s="18">
        <f t="shared" si="593"/>
        <v>2070</v>
      </c>
      <c r="U254" s="14">
        <f t="shared" si="615"/>
        <v>2070</v>
      </c>
      <c r="V254" s="14">
        <f t="shared" si="616"/>
        <v>2070</v>
      </c>
      <c r="W254" s="18">
        <f t="shared" si="596"/>
        <v>1730</v>
      </c>
      <c r="X254" s="14">
        <f t="shared" si="617"/>
        <v>1730</v>
      </c>
      <c r="Y254" s="14">
        <f t="shared" si="618"/>
        <v>1730</v>
      </c>
      <c r="Z254" s="14">
        <f t="shared" si="619"/>
        <v>1730</v>
      </c>
      <c r="AA254" s="18">
        <f t="shared" si="600"/>
        <v>1480</v>
      </c>
      <c r="AB254" s="14">
        <f t="shared" si="620"/>
        <v>1480</v>
      </c>
      <c r="AC254" s="14">
        <f t="shared" si="621"/>
        <v>1480</v>
      </c>
      <c r="AD254" s="14">
        <f t="shared" si="622"/>
        <v>1480</v>
      </c>
      <c r="AE254" s="14">
        <f t="shared" si="623"/>
        <v>1480</v>
      </c>
      <c r="AF254" s="14">
        <f t="shared" si="624"/>
        <v>1480</v>
      </c>
      <c r="AG254" s="14">
        <f t="shared" si="625"/>
        <v>1480</v>
      </c>
      <c r="AH254" s="14">
        <f t="shared" si="626"/>
        <v>1480</v>
      </c>
      <c r="AI254" s="14">
        <f t="shared" si="627"/>
        <v>1480</v>
      </c>
      <c r="AJ254" s="14">
        <f t="shared" si="628"/>
        <v>1480</v>
      </c>
      <c r="AK254" s="14">
        <f t="shared" si="629"/>
        <v>1480</v>
      </c>
      <c r="AL254" s="14">
        <f t="shared" si="630"/>
        <v>1480</v>
      </c>
      <c r="AM254" s="14">
        <f t="shared" si="631"/>
        <v>1480</v>
      </c>
    </row>
    <row r="255" spans="1:39" x14ac:dyDescent="0.35">
      <c r="B255" s="1"/>
      <c r="C255" s="164" t="s">
        <v>310</v>
      </c>
      <c r="D255" s="2" t="s">
        <v>13</v>
      </c>
      <c r="E255" s="2"/>
      <c r="F255" s="2" t="s">
        <v>169</v>
      </c>
      <c r="G255" s="123">
        <f>3800*1.5</f>
        <v>5700</v>
      </c>
      <c r="H255" s="156"/>
      <c r="I255" s="123">
        <v>8000</v>
      </c>
      <c r="J255" s="123">
        <v>10000</v>
      </c>
      <c r="K255" s="107"/>
      <c r="L255" s="107">
        <f>H255*1.25</f>
        <v>0</v>
      </c>
      <c r="M255" s="107">
        <f>I255*1.25</f>
        <v>10000</v>
      </c>
      <c r="N255" s="171">
        <v>7200</v>
      </c>
      <c r="O255" s="18">
        <f t="shared" si="588"/>
        <v>2000</v>
      </c>
      <c r="P255" s="14">
        <f t="shared" si="589"/>
        <v>2000</v>
      </c>
      <c r="Q255" s="18">
        <f t="shared" si="590"/>
        <v>1430</v>
      </c>
      <c r="R255" s="14">
        <f t="shared" si="613"/>
        <v>1430</v>
      </c>
      <c r="S255" s="14">
        <f t="shared" si="614"/>
        <v>1430</v>
      </c>
      <c r="T255" s="18">
        <f t="shared" si="593"/>
        <v>1000</v>
      </c>
      <c r="U255" s="14">
        <f t="shared" si="615"/>
        <v>1000</v>
      </c>
      <c r="V255" s="14">
        <f t="shared" si="616"/>
        <v>1000</v>
      </c>
      <c r="W255" s="18">
        <f t="shared" si="596"/>
        <v>830</v>
      </c>
      <c r="X255" s="14">
        <f t="shared" si="617"/>
        <v>830</v>
      </c>
      <c r="Y255" s="14">
        <f t="shared" si="618"/>
        <v>830</v>
      </c>
      <c r="Z255" s="14">
        <f t="shared" si="619"/>
        <v>830</v>
      </c>
      <c r="AA255" s="18">
        <f t="shared" si="600"/>
        <v>710</v>
      </c>
      <c r="AB255" s="14">
        <f t="shared" si="620"/>
        <v>710</v>
      </c>
      <c r="AC255" s="14">
        <f t="shared" si="621"/>
        <v>710</v>
      </c>
      <c r="AD255" s="14">
        <f t="shared" si="622"/>
        <v>710</v>
      </c>
      <c r="AE255" s="14">
        <f t="shared" si="623"/>
        <v>710</v>
      </c>
      <c r="AF255" s="14">
        <f t="shared" si="624"/>
        <v>710</v>
      </c>
      <c r="AG255" s="14">
        <f t="shared" si="625"/>
        <v>710</v>
      </c>
      <c r="AH255" s="14">
        <f t="shared" si="626"/>
        <v>710</v>
      </c>
      <c r="AI255" s="14">
        <f t="shared" si="627"/>
        <v>710</v>
      </c>
      <c r="AJ255" s="14">
        <f t="shared" si="628"/>
        <v>710</v>
      </c>
      <c r="AK255" s="14">
        <f t="shared" si="629"/>
        <v>710</v>
      </c>
      <c r="AL255" s="14">
        <f t="shared" si="630"/>
        <v>710</v>
      </c>
      <c r="AM255" s="14">
        <f t="shared" si="631"/>
        <v>710</v>
      </c>
    </row>
    <row r="256" spans="1:39" x14ac:dyDescent="0.35">
      <c r="B256" s="1"/>
      <c r="C256" s="164" t="s">
        <v>267</v>
      </c>
      <c r="D256" s="2" t="s">
        <v>13</v>
      </c>
      <c r="E256" s="2"/>
      <c r="F256" s="2" t="s">
        <v>169</v>
      </c>
      <c r="G256" s="107"/>
      <c r="H256" s="107"/>
      <c r="I256" s="107"/>
      <c r="J256" s="107">
        <v>0</v>
      </c>
      <c r="K256" s="107"/>
      <c r="L256" s="107">
        <f t="shared" ref="L256" si="632">H256*1.25</f>
        <v>0</v>
      </c>
      <c r="M256" s="107">
        <f>I256*1.25</f>
        <v>0</v>
      </c>
      <c r="N256" s="171"/>
      <c r="O256" s="18">
        <f t="shared" si="588"/>
        <v>0</v>
      </c>
      <c r="P256" s="14">
        <f t="shared" si="589"/>
        <v>0</v>
      </c>
      <c r="Q256" s="18">
        <f t="shared" si="590"/>
        <v>0</v>
      </c>
      <c r="R256" s="14">
        <f t="shared" si="613"/>
        <v>0</v>
      </c>
      <c r="S256" s="14">
        <f t="shared" si="614"/>
        <v>0</v>
      </c>
      <c r="T256" s="18">
        <f t="shared" si="593"/>
        <v>0</v>
      </c>
      <c r="U256" s="14">
        <f t="shared" si="615"/>
        <v>0</v>
      </c>
      <c r="V256" s="14">
        <f t="shared" si="616"/>
        <v>0</v>
      </c>
      <c r="W256" s="18">
        <f t="shared" si="596"/>
        <v>0</v>
      </c>
      <c r="X256" s="14">
        <f t="shared" si="617"/>
        <v>0</v>
      </c>
      <c r="Y256" s="14">
        <f t="shared" si="618"/>
        <v>0</v>
      </c>
      <c r="Z256" s="14">
        <f t="shared" si="619"/>
        <v>0</v>
      </c>
      <c r="AA256" s="18">
        <f t="shared" si="600"/>
        <v>0</v>
      </c>
      <c r="AB256" s="14">
        <f t="shared" si="620"/>
        <v>0</v>
      </c>
      <c r="AC256" s="14">
        <f t="shared" si="621"/>
        <v>0</v>
      </c>
      <c r="AD256" s="14">
        <f t="shared" si="622"/>
        <v>0</v>
      </c>
      <c r="AE256" s="14">
        <f t="shared" si="623"/>
        <v>0</v>
      </c>
      <c r="AF256" s="14">
        <f t="shared" si="624"/>
        <v>0</v>
      </c>
      <c r="AG256" s="14">
        <f t="shared" si="625"/>
        <v>0</v>
      </c>
      <c r="AH256" s="14">
        <f t="shared" si="626"/>
        <v>0</v>
      </c>
      <c r="AI256" s="14">
        <f t="shared" si="627"/>
        <v>0</v>
      </c>
      <c r="AJ256" s="14">
        <f t="shared" si="628"/>
        <v>0</v>
      </c>
      <c r="AK256" s="14">
        <f t="shared" si="629"/>
        <v>0</v>
      </c>
      <c r="AL256" s="14">
        <f t="shared" si="630"/>
        <v>0</v>
      </c>
      <c r="AM256" s="14">
        <f t="shared" si="631"/>
        <v>0</v>
      </c>
    </row>
    <row r="257" spans="1:40" x14ac:dyDescent="0.35">
      <c r="B257" s="1"/>
      <c r="C257" s="164" t="s">
        <v>307</v>
      </c>
      <c r="D257" s="2" t="s">
        <v>13</v>
      </c>
      <c r="E257" s="2"/>
      <c r="F257" s="2" t="s">
        <v>169</v>
      </c>
      <c r="G257" s="107">
        <v>8500</v>
      </c>
      <c r="H257" s="107"/>
      <c r="I257" s="107">
        <v>8500</v>
      </c>
      <c r="J257" s="107">
        <v>10625</v>
      </c>
      <c r="K257" s="107"/>
      <c r="L257" s="122">
        <v>10625</v>
      </c>
      <c r="M257" s="122">
        <v>22500</v>
      </c>
      <c r="N257" s="171">
        <v>22400</v>
      </c>
      <c r="O257" s="18">
        <f t="shared" si="588"/>
        <v>4500</v>
      </c>
      <c r="P257" s="14">
        <f t="shared" si="589"/>
        <v>4500</v>
      </c>
      <c r="Q257" s="18">
        <f t="shared" si="590"/>
        <v>3210</v>
      </c>
      <c r="R257" s="14">
        <f t="shared" si="613"/>
        <v>3210</v>
      </c>
      <c r="S257" s="14">
        <f t="shared" si="614"/>
        <v>3210</v>
      </c>
      <c r="T257" s="18">
        <f t="shared" si="593"/>
        <v>2250</v>
      </c>
      <c r="U257" s="14">
        <f t="shared" si="615"/>
        <v>2250</v>
      </c>
      <c r="V257" s="14">
        <f t="shared" si="616"/>
        <v>2250</v>
      </c>
      <c r="W257" s="18">
        <f t="shared" si="596"/>
        <v>1880</v>
      </c>
      <c r="X257" s="14">
        <f t="shared" si="617"/>
        <v>1880</v>
      </c>
      <c r="Y257" s="14">
        <f t="shared" si="618"/>
        <v>1880</v>
      </c>
      <c r="Z257" s="14">
        <f t="shared" si="619"/>
        <v>1880</v>
      </c>
      <c r="AA257" s="18">
        <f t="shared" si="600"/>
        <v>1610</v>
      </c>
      <c r="AB257" s="14">
        <f t="shared" si="620"/>
        <v>1610</v>
      </c>
      <c r="AC257" s="14">
        <f t="shared" si="621"/>
        <v>1610</v>
      </c>
      <c r="AD257" s="14">
        <f t="shared" si="622"/>
        <v>1610</v>
      </c>
      <c r="AE257" s="14">
        <f t="shared" si="623"/>
        <v>1610</v>
      </c>
      <c r="AF257" s="14">
        <f t="shared" si="624"/>
        <v>1610</v>
      </c>
      <c r="AG257" s="14">
        <f t="shared" si="625"/>
        <v>1610</v>
      </c>
      <c r="AH257" s="14">
        <f t="shared" si="626"/>
        <v>1610</v>
      </c>
      <c r="AI257" s="14">
        <f t="shared" si="627"/>
        <v>1610</v>
      </c>
      <c r="AJ257" s="14">
        <f t="shared" si="628"/>
        <v>1610</v>
      </c>
      <c r="AK257" s="14">
        <f t="shared" si="629"/>
        <v>1610</v>
      </c>
      <c r="AL257" s="14">
        <f t="shared" si="630"/>
        <v>1610</v>
      </c>
      <c r="AM257" s="14">
        <f t="shared" si="631"/>
        <v>1610</v>
      </c>
    </row>
    <row r="258" spans="1:40" x14ac:dyDescent="0.35">
      <c r="B258" s="1"/>
      <c r="C258" s="164" t="s">
        <v>308</v>
      </c>
      <c r="D258" s="2" t="s">
        <v>13</v>
      </c>
      <c r="E258" s="2"/>
      <c r="F258" s="2" t="s">
        <v>169</v>
      </c>
      <c r="G258" s="107">
        <v>12200</v>
      </c>
      <c r="H258" s="107"/>
      <c r="I258" s="107">
        <v>12200</v>
      </c>
      <c r="J258" s="107">
        <v>15250</v>
      </c>
      <c r="K258" s="107"/>
      <c r="L258" s="122">
        <v>15250</v>
      </c>
      <c r="M258" s="122">
        <v>30000</v>
      </c>
      <c r="N258" s="171">
        <v>30000</v>
      </c>
      <c r="O258" s="18">
        <f t="shared" si="588"/>
        <v>6000</v>
      </c>
      <c r="P258" s="14">
        <f t="shared" si="589"/>
        <v>6000</v>
      </c>
      <c r="Q258" s="18">
        <f t="shared" si="590"/>
        <v>4290</v>
      </c>
      <c r="R258" s="14">
        <f t="shared" si="613"/>
        <v>4290</v>
      </c>
      <c r="S258" s="14">
        <f t="shared" si="614"/>
        <v>4290</v>
      </c>
      <c r="T258" s="18">
        <f t="shared" si="593"/>
        <v>3000</v>
      </c>
      <c r="U258" s="14">
        <f t="shared" si="615"/>
        <v>3000</v>
      </c>
      <c r="V258" s="14">
        <f t="shared" si="616"/>
        <v>3000</v>
      </c>
      <c r="W258" s="18">
        <f t="shared" si="596"/>
        <v>2500</v>
      </c>
      <c r="X258" s="14">
        <f t="shared" si="617"/>
        <v>2500</v>
      </c>
      <c r="Y258" s="14">
        <f t="shared" si="618"/>
        <v>2500</v>
      </c>
      <c r="Z258" s="14">
        <f t="shared" si="619"/>
        <v>2500</v>
      </c>
      <c r="AA258" s="18">
        <f t="shared" si="600"/>
        <v>2140</v>
      </c>
      <c r="AB258" s="14">
        <f t="shared" si="620"/>
        <v>2140</v>
      </c>
      <c r="AC258" s="14">
        <f t="shared" si="621"/>
        <v>2140</v>
      </c>
      <c r="AD258" s="14">
        <f t="shared" si="622"/>
        <v>2140</v>
      </c>
      <c r="AE258" s="14">
        <f t="shared" si="623"/>
        <v>2140</v>
      </c>
      <c r="AF258" s="14">
        <f t="shared" si="624"/>
        <v>2140</v>
      </c>
      <c r="AG258" s="14">
        <f t="shared" si="625"/>
        <v>2140</v>
      </c>
      <c r="AH258" s="14">
        <f t="shared" si="626"/>
        <v>2140</v>
      </c>
      <c r="AI258" s="14">
        <f t="shared" si="627"/>
        <v>2140</v>
      </c>
      <c r="AJ258" s="14">
        <f t="shared" si="628"/>
        <v>2140</v>
      </c>
      <c r="AK258" s="14">
        <f t="shared" si="629"/>
        <v>2140</v>
      </c>
      <c r="AL258" s="14">
        <f t="shared" si="630"/>
        <v>2140</v>
      </c>
      <c r="AM258" s="14">
        <f t="shared" si="631"/>
        <v>2140</v>
      </c>
    </row>
    <row r="259" spans="1:40" x14ac:dyDescent="0.35">
      <c r="B259" s="1"/>
      <c r="C259" s="164" t="s">
        <v>257</v>
      </c>
      <c r="D259" s="2" t="s">
        <v>13</v>
      </c>
      <c r="E259" s="2"/>
      <c r="F259" s="2" t="s">
        <v>169</v>
      </c>
      <c r="G259" s="107">
        <v>8500</v>
      </c>
      <c r="H259" s="107"/>
      <c r="I259" s="107">
        <v>8500</v>
      </c>
      <c r="J259" s="107">
        <v>10625</v>
      </c>
      <c r="K259" s="107"/>
      <c r="L259" s="122">
        <v>10625</v>
      </c>
      <c r="M259" s="122">
        <v>23000</v>
      </c>
      <c r="N259" s="171">
        <v>22800</v>
      </c>
      <c r="O259" s="18">
        <f t="shared" si="588"/>
        <v>4600</v>
      </c>
      <c r="P259" s="14">
        <f t="shared" si="589"/>
        <v>4600</v>
      </c>
      <c r="Q259" s="18">
        <f t="shared" si="590"/>
        <v>3290</v>
      </c>
      <c r="R259" s="14">
        <f t="shared" si="613"/>
        <v>3290</v>
      </c>
      <c r="S259" s="14">
        <f t="shared" si="614"/>
        <v>3290</v>
      </c>
      <c r="T259" s="18">
        <f t="shared" si="593"/>
        <v>2300</v>
      </c>
      <c r="U259" s="14">
        <f t="shared" si="615"/>
        <v>2300</v>
      </c>
      <c r="V259" s="14">
        <f t="shared" si="616"/>
        <v>2300</v>
      </c>
      <c r="W259" s="18">
        <f t="shared" si="596"/>
        <v>1920</v>
      </c>
      <c r="X259" s="14">
        <f t="shared" si="617"/>
        <v>1920</v>
      </c>
      <c r="Y259" s="14">
        <f t="shared" si="618"/>
        <v>1920</v>
      </c>
      <c r="Z259" s="14">
        <f t="shared" si="619"/>
        <v>1920</v>
      </c>
      <c r="AA259" s="18">
        <f t="shared" si="600"/>
        <v>1640</v>
      </c>
      <c r="AB259" s="14">
        <f t="shared" si="620"/>
        <v>1640</v>
      </c>
      <c r="AC259" s="14">
        <f t="shared" si="621"/>
        <v>1640</v>
      </c>
      <c r="AD259" s="14">
        <f t="shared" si="622"/>
        <v>1640</v>
      </c>
      <c r="AE259" s="14">
        <f t="shared" si="623"/>
        <v>1640</v>
      </c>
      <c r="AF259" s="14">
        <f t="shared" si="624"/>
        <v>1640</v>
      </c>
      <c r="AG259" s="14">
        <f t="shared" si="625"/>
        <v>1640</v>
      </c>
      <c r="AH259" s="14">
        <f t="shared" si="626"/>
        <v>1640</v>
      </c>
      <c r="AI259" s="14">
        <f t="shared" si="627"/>
        <v>1640</v>
      </c>
      <c r="AJ259" s="14">
        <f t="shared" si="628"/>
        <v>1640</v>
      </c>
      <c r="AK259" s="14">
        <f t="shared" si="629"/>
        <v>1640</v>
      </c>
      <c r="AL259" s="14">
        <f t="shared" si="630"/>
        <v>1640</v>
      </c>
      <c r="AM259" s="14">
        <f t="shared" si="631"/>
        <v>1640</v>
      </c>
    </row>
    <row r="260" spans="1:40" x14ac:dyDescent="0.35">
      <c r="B260" s="35"/>
      <c r="C260" s="164" t="s">
        <v>325</v>
      </c>
      <c r="D260" s="31" t="s">
        <v>13</v>
      </c>
      <c r="E260" s="31"/>
      <c r="F260" s="31" t="s">
        <v>169</v>
      </c>
      <c r="G260" s="107">
        <v>7500</v>
      </c>
      <c r="H260" s="107"/>
      <c r="I260" s="107">
        <v>7500</v>
      </c>
      <c r="J260" s="107">
        <v>9375</v>
      </c>
      <c r="K260" s="107"/>
      <c r="L260" s="122">
        <v>9375</v>
      </c>
      <c r="M260" s="122">
        <v>13500</v>
      </c>
      <c r="N260" s="171">
        <v>13440</v>
      </c>
      <c r="O260" s="18">
        <f t="shared" si="588"/>
        <v>2700</v>
      </c>
      <c r="P260" s="14">
        <f t="shared" si="589"/>
        <v>2700</v>
      </c>
      <c r="Q260" s="18">
        <f t="shared" si="590"/>
        <v>1930</v>
      </c>
      <c r="R260" s="14">
        <f t="shared" si="613"/>
        <v>1930</v>
      </c>
      <c r="S260" s="14">
        <f t="shared" si="614"/>
        <v>1930</v>
      </c>
      <c r="T260" s="18">
        <f t="shared" si="593"/>
        <v>1350</v>
      </c>
      <c r="U260" s="14">
        <f t="shared" si="615"/>
        <v>1350</v>
      </c>
      <c r="V260" s="14">
        <f t="shared" si="616"/>
        <v>1350</v>
      </c>
      <c r="W260" s="18">
        <f t="shared" si="596"/>
        <v>1130</v>
      </c>
      <c r="X260" s="14">
        <f t="shared" si="617"/>
        <v>1130</v>
      </c>
      <c r="Y260" s="14">
        <f t="shared" si="618"/>
        <v>1130</v>
      </c>
      <c r="Z260" s="14">
        <f t="shared" si="619"/>
        <v>1130</v>
      </c>
      <c r="AA260" s="18">
        <f t="shared" si="600"/>
        <v>960</v>
      </c>
      <c r="AB260" s="14">
        <f t="shared" si="620"/>
        <v>960</v>
      </c>
      <c r="AC260" s="14">
        <f t="shared" si="621"/>
        <v>960</v>
      </c>
      <c r="AD260" s="14">
        <f t="shared" si="622"/>
        <v>960</v>
      </c>
      <c r="AE260" s="14">
        <f t="shared" si="623"/>
        <v>960</v>
      </c>
      <c r="AF260" s="14">
        <f t="shared" si="624"/>
        <v>960</v>
      </c>
      <c r="AG260" s="14">
        <f t="shared" si="625"/>
        <v>960</v>
      </c>
      <c r="AH260" s="14">
        <f t="shared" si="626"/>
        <v>960</v>
      </c>
      <c r="AI260" s="14">
        <f t="shared" si="627"/>
        <v>960</v>
      </c>
      <c r="AJ260" s="14">
        <f t="shared" si="628"/>
        <v>960</v>
      </c>
      <c r="AK260" s="14">
        <f t="shared" si="629"/>
        <v>960</v>
      </c>
      <c r="AL260" s="14">
        <f t="shared" si="630"/>
        <v>960</v>
      </c>
      <c r="AM260" s="14">
        <f t="shared" si="631"/>
        <v>960</v>
      </c>
    </row>
    <row r="261" spans="1:40" x14ac:dyDescent="0.35">
      <c r="B261" s="35"/>
      <c r="C261" s="164" t="s">
        <v>291</v>
      </c>
      <c r="D261" s="31" t="s">
        <v>13</v>
      </c>
      <c r="E261" s="31"/>
      <c r="F261" s="31" t="s">
        <v>169</v>
      </c>
      <c r="G261" s="107">
        <v>9000</v>
      </c>
      <c r="H261" s="107"/>
      <c r="I261" s="107">
        <v>9000</v>
      </c>
      <c r="J261" s="107">
        <v>11250</v>
      </c>
      <c r="K261" s="107"/>
      <c r="L261" s="122">
        <v>11250</v>
      </c>
      <c r="M261" s="122">
        <v>27000</v>
      </c>
      <c r="N261" s="171" t="s">
        <v>346</v>
      </c>
      <c r="O261" s="18">
        <f t="shared" si="588"/>
        <v>5400</v>
      </c>
      <c r="P261" s="14">
        <f t="shared" si="589"/>
        <v>5400</v>
      </c>
      <c r="Q261" s="18">
        <f t="shared" si="590"/>
        <v>3860</v>
      </c>
      <c r="R261" s="14">
        <f t="shared" ref="R261" si="633">Q261</f>
        <v>3860</v>
      </c>
      <c r="S261" s="14">
        <f t="shared" ref="S261" si="634">Q261</f>
        <v>3860</v>
      </c>
      <c r="T261" s="18">
        <f t="shared" si="593"/>
        <v>2700</v>
      </c>
      <c r="U261" s="14">
        <f t="shared" ref="U261" si="635">T261</f>
        <v>2700</v>
      </c>
      <c r="V261" s="14">
        <f t="shared" ref="V261" si="636">T261</f>
        <v>2700</v>
      </c>
      <c r="W261" s="18">
        <f t="shared" si="596"/>
        <v>2250</v>
      </c>
      <c r="X261" s="14">
        <f t="shared" ref="X261" si="637">W261</f>
        <v>2250</v>
      </c>
      <c r="Y261" s="14">
        <f t="shared" ref="Y261" si="638">W261</f>
        <v>2250</v>
      </c>
      <c r="Z261" s="14">
        <f t="shared" ref="Z261" si="639">W261</f>
        <v>2250</v>
      </c>
      <c r="AA261" s="18">
        <f t="shared" si="600"/>
        <v>1930</v>
      </c>
      <c r="AB261" s="14">
        <f t="shared" ref="AB261" si="640">AA261</f>
        <v>1930</v>
      </c>
      <c r="AC261" s="14">
        <f t="shared" ref="AC261" si="641">AB261</f>
        <v>1930</v>
      </c>
      <c r="AD261" s="14">
        <f t="shared" ref="AD261" si="642">AC261</f>
        <v>1930</v>
      </c>
      <c r="AE261" s="14">
        <f t="shared" ref="AE261" si="643">AD261</f>
        <v>1930</v>
      </c>
      <c r="AF261" s="14">
        <f t="shared" ref="AF261" si="644">AE261</f>
        <v>1930</v>
      </c>
      <c r="AG261" s="14">
        <f t="shared" ref="AG261" si="645">AF261</f>
        <v>1930</v>
      </c>
      <c r="AH261" s="14">
        <f t="shared" ref="AH261" si="646">AG261</f>
        <v>1930</v>
      </c>
      <c r="AI261" s="14">
        <f t="shared" ref="AI261" si="647">AH261</f>
        <v>1930</v>
      </c>
      <c r="AJ261" s="14">
        <f t="shared" ref="AJ261" si="648">AI261</f>
        <v>1930</v>
      </c>
      <c r="AK261" s="14">
        <f t="shared" ref="AK261" si="649">AJ261</f>
        <v>1930</v>
      </c>
      <c r="AL261" s="14">
        <f t="shared" ref="AL261" si="650">AK261</f>
        <v>1930</v>
      </c>
      <c r="AM261" s="14">
        <f t="shared" ref="AM261" si="651">AL261</f>
        <v>1930</v>
      </c>
    </row>
    <row r="262" spans="1:40" x14ac:dyDescent="0.35">
      <c r="B262" s="29"/>
      <c r="C262" s="174" t="s">
        <v>349</v>
      </c>
      <c r="D262" s="30"/>
      <c r="E262" s="30"/>
      <c r="F262" s="30"/>
      <c r="G262" s="107"/>
      <c r="H262" s="107"/>
      <c r="I262" s="107"/>
      <c r="J262" s="107"/>
      <c r="K262" s="107"/>
      <c r="L262" s="122"/>
      <c r="M262" s="122"/>
      <c r="N262" s="171">
        <v>107060</v>
      </c>
      <c r="O262" s="175"/>
      <c r="P262" s="176"/>
      <c r="Q262" s="175"/>
      <c r="R262" s="176"/>
      <c r="S262" s="176"/>
      <c r="T262" s="175"/>
      <c r="U262" s="176"/>
      <c r="V262" s="176"/>
      <c r="W262" s="175"/>
      <c r="X262" s="176"/>
      <c r="Y262" s="176"/>
      <c r="Z262" s="176"/>
      <c r="AA262" s="175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</row>
    <row r="263" spans="1:40" x14ac:dyDescent="0.35">
      <c r="B263" s="29"/>
      <c r="C263" s="174" t="s">
        <v>350</v>
      </c>
      <c r="D263" s="30"/>
      <c r="E263" s="30"/>
      <c r="F263" s="30"/>
      <c r="G263" s="107"/>
      <c r="H263" s="107"/>
      <c r="I263" s="107"/>
      <c r="J263" s="107"/>
      <c r="K263" s="107"/>
      <c r="L263" s="122"/>
      <c r="M263" s="122"/>
      <c r="N263" s="171">
        <v>192735</v>
      </c>
      <c r="O263" s="175"/>
      <c r="P263" s="176"/>
      <c r="Q263" s="175"/>
      <c r="R263" s="176"/>
      <c r="S263" s="176"/>
      <c r="T263" s="175"/>
      <c r="U263" s="176"/>
      <c r="V263" s="176"/>
      <c r="W263" s="175"/>
      <c r="X263" s="176"/>
      <c r="Y263" s="176"/>
      <c r="Z263" s="176"/>
      <c r="AA263" s="175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</row>
    <row r="264" spans="1:40" x14ac:dyDescent="0.35">
      <c r="C264" s="106" t="s">
        <v>260</v>
      </c>
    </row>
    <row r="266" spans="1:40" x14ac:dyDescent="0.35">
      <c r="B266" s="38"/>
      <c r="C266" s="38" t="s">
        <v>252</v>
      </c>
      <c r="D266" s="39" t="s">
        <v>13</v>
      </c>
      <c r="E266" s="38"/>
      <c r="F266" s="38" t="s">
        <v>182</v>
      </c>
      <c r="G266" s="40"/>
      <c r="I266" s="40"/>
      <c r="J266" s="40"/>
      <c r="K266" s="40"/>
      <c r="L266" s="40"/>
      <c r="M266" s="40"/>
      <c r="O266" s="41">
        <f t="shared" ref="O266:AM266" si="652">ROUND(($D$267*O$254+$D$268*O$196+$D$269*1+$D$270*O$84+$D$271*O$260)*0.9,-1)</f>
        <v>12480</v>
      </c>
      <c r="P266" s="41">
        <f t="shared" si="652"/>
        <v>12480</v>
      </c>
      <c r="Q266" s="41">
        <f t="shared" si="652"/>
        <v>8870</v>
      </c>
      <c r="R266" s="41">
        <f t="shared" si="652"/>
        <v>8870</v>
      </c>
      <c r="S266" s="41">
        <f t="shared" si="652"/>
        <v>8870</v>
      </c>
      <c r="T266" s="41">
        <f t="shared" si="652"/>
        <v>6220</v>
      </c>
      <c r="U266" s="41">
        <f t="shared" si="652"/>
        <v>6220</v>
      </c>
      <c r="V266" s="41">
        <f t="shared" si="652"/>
        <v>6220</v>
      </c>
      <c r="W266" s="41">
        <f t="shared" si="652"/>
        <v>5240</v>
      </c>
      <c r="X266" s="41">
        <f t="shared" si="652"/>
        <v>5240</v>
      </c>
      <c r="Y266" s="41">
        <f t="shared" si="652"/>
        <v>5240</v>
      </c>
      <c r="Z266" s="41">
        <f t="shared" si="652"/>
        <v>5240</v>
      </c>
      <c r="AA266" s="41">
        <f t="shared" si="652"/>
        <v>4480</v>
      </c>
      <c r="AB266" s="41">
        <f t="shared" si="652"/>
        <v>4480</v>
      </c>
      <c r="AC266" s="41">
        <f t="shared" si="652"/>
        <v>4480</v>
      </c>
      <c r="AD266" s="41">
        <f t="shared" si="652"/>
        <v>4480</v>
      </c>
      <c r="AE266" s="41">
        <f t="shared" si="652"/>
        <v>4480</v>
      </c>
      <c r="AF266" s="41">
        <f t="shared" si="652"/>
        <v>4480</v>
      </c>
      <c r="AG266" s="41">
        <f t="shared" si="652"/>
        <v>4480</v>
      </c>
      <c r="AH266" s="41">
        <f t="shared" si="652"/>
        <v>4480</v>
      </c>
      <c r="AI266" s="41">
        <f t="shared" si="652"/>
        <v>4480</v>
      </c>
      <c r="AJ266" s="41">
        <f t="shared" si="652"/>
        <v>4480</v>
      </c>
      <c r="AK266" s="41">
        <f t="shared" si="652"/>
        <v>4480</v>
      </c>
      <c r="AL266" s="41">
        <f t="shared" si="652"/>
        <v>4480</v>
      </c>
      <c r="AM266" s="41">
        <f t="shared" si="652"/>
        <v>4480</v>
      </c>
    </row>
    <row r="267" spans="1:40" x14ac:dyDescent="0.35">
      <c r="A267" s="20"/>
      <c r="B267" s="21"/>
      <c r="C267" s="116" t="str">
        <f>C254</f>
        <v>T1 - Стол круглый D120 см</v>
      </c>
      <c r="D267" s="21">
        <v>2</v>
      </c>
      <c r="E267" s="21"/>
      <c r="F267" s="21"/>
      <c r="G267" s="24"/>
      <c r="H267" s="24"/>
      <c r="I267" s="24"/>
      <c r="J267" s="24"/>
      <c r="K267" s="24"/>
      <c r="L267" s="24"/>
      <c r="M267" s="24"/>
      <c r="N267" s="172"/>
      <c r="O267" s="25"/>
      <c r="P267" s="20"/>
      <c r="Q267" s="25"/>
      <c r="R267" s="20"/>
      <c r="S267" s="20"/>
      <c r="T267" s="25"/>
      <c r="U267" s="20"/>
      <c r="V267" s="20"/>
      <c r="W267" s="25"/>
      <c r="X267" s="20"/>
      <c r="Y267" s="20"/>
      <c r="Z267" s="20"/>
      <c r="AA267" s="25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3"/>
    </row>
    <row r="268" spans="1:40" x14ac:dyDescent="0.35">
      <c r="A268" s="20"/>
      <c r="B268" s="21"/>
      <c r="C268" s="129" t="str">
        <f>C196</f>
        <v>T2 - Стул ИЗО (хром)</v>
      </c>
      <c r="D268" s="21">
        <v>8</v>
      </c>
      <c r="E268" s="21"/>
      <c r="F268" s="21"/>
      <c r="G268" s="24"/>
      <c r="H268" s="24"/>
      <c r="I268" s="24"/>
      <c r="J268" s="24"/>
      <c r="K268" s="24"/>
      <c r="L268" s="24"/>
      <c r="M268" s="24"/>
      <c r="N268" s="172"/>
      <c r="O268" s="25"/>
      <c r="P268" s="20"/>
      <c r="Q268" s="25"/>
      <c r="R268" s="20"/>
      <c r="S268" s="20"/>
      <c r="T268" s="25"/>
      <c r="U268" s="20"/>
      <c r="V268" s="20"/>
      <c r="W268" s="25"/>
      <c r="X268" s="20"/>
      <c r="Y268" s="20"/>
      <c r="Z268" s="20"/>
      <c r="AA268" s="25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3"/>
    </row>
    <row r="269" spans="1:40" x14ac:dyDescent="0.35">
      <c r="A269" s="20"/>
      <c r="B269" s="21"/>
      <c r="C269" s="26" t="str">
        <f>C87</f>
        <v>Корзина для мусора</v>
      </c>
      <c r="D269" s="21">
        <v>1</v>
      </c>
      <c r="E269" s="21"/>
      <c r="F269" s="21"/>
      <c r="G269" s="24"/>
      <c r="H269" s="24"/>
      <c r="I269" s="24"/>
      <c r="J269" s="24"/>
      <c r="K269" s="24"/>
      <c r="L269" s="24"/>
      <c r="M269" s="24"/>
      <c r="N269" s="172"/>
      <c r="O269" s="25"/>
      <c r="P269" s="20"/>
      <c r="Q269" s="25"/>
      <c r="R269" s="20"/>
      <c r="S269" s="20"/>
      <c r="T269" s="25"/>
      <c r="U269" s="20"/>
      <c r="V269" s="20"/>
      <c r="W269" s="25"/>
      <c r="X269" s="20"/>
      <c r="Y269" s="20"/>
      <c r="Z269" s="20"/>
      <c r="AA269" s="25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3"/>
    </row>
    <row r="270" spans="1:40" x14ac:dyDescent="0.35">
      <c r="A270" s="20"/>
      <c r="B270" s="21"/>
      <c r="C270" s="22" t="str">
        <f>C84</f>
        <v>Вешалка напольная</v>
      </c>
      <c r="D270" s="21">
        <v>1</v>
      </c>
      <c r="E270" s="21"/>
      <c r="F270" s="21"/>
      <c r="G270" s="24"/>
      <c r="H270" s="24"/>
      <c r="I270" s="24"/>
      <c r="J270" s="24"/>
      <c r="K270" s="24"/>
      <c r="L270" s="24"/>
      <c r="M270" s="24"/>
      <c r="N270" s="172"/>
      <c r="O270" s="25"/>
      <c r="P270" s="20"/>
      <c r="Q270" s="25"/>
      <c r="R270" s="20"/>
      <c r="S270" s="20"/>
      <c r="T270" s="25"/>
      <c r="U270" s="20"/>
      <c r="V270" s="20"/>
      <c r="W270" s="25"/>
      <c r="X270" s="20"/>
      <c r="Y270" s="20"/>
      <c r="Z270" s="20"/>
      <c r="AA270" s="25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3"/>
    </row>
    <row r="271" spans="1:40" x14ac:dyDescent="0.35">
      <c r="A271" s="20"/>
      <c r="B271" s="21"/>
      <c r="C271" s="103" t="str">
        <f>C260</f>
        <v>T1 - Шкаф архивный низкий</v>
      </c>
      <c r="D271" s="21">
        <v>1</v>
      </c>
      <c r="E271" s="21"/>
      <c r="F271" s="21"/>
      <c r="G271" s="24"/>
      <c r="H271" s="24"/>
      <c r="I271" s="24"/>
      <c r="J271" s="24"/>
      <c r="K271" s="24"/>
      <c r="L271" s="24"/>
      <c r="M271" s="24"/>
      <c r="N271" s="172"/>
      <c r="O271" s="25"/>
      <c r="P271" s="20"/>
      <c r="Q271" s="25"/>
      <c r="R271" s="20"/>
      <c r="S271" s="20"/>
      <c r="T271" s="25"/>
      <c r="U271" s="20"/>
      <c r="V271" s="20"/>
      <c r="W271" s="25"/>
      <c r="X271" s="20"/>
      <c r="Y271" s="20"/>
      <c r="Z271" s="20"/>
      <c r="AA271" s="25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3"/>
    </row>
    <row r="272" spans="1:40" x14ac:dyDescent="0.35">
      <c r="A272" s="20"/>
      <c r="B272" s="21"/>
      <c r="E272" s="21"/>
      <c r="F272" s="21"/>
      <c r="G272" s="24"/>
      <c r="H272" s="24"/>
      <c r="I272" s="24"/>
      <c r="J272" s="24"/>
      <c r="K272" s="24"/>
      <c r="L272" s="24"/>
      <c r="M272" s="24"/>
      <c r="N272" s="172"/>
      <c r="O272" s="25"/>
      <c r="P272" s="20"/>
      <c r="Q272" s="25"/>
      <c r="R272" s="20"/>
      <c r="S272" s="20"/>
      <c r="T272" s="25"/>
      <c r="U272" s="20"/>
      <c r="V272" s="20"/>
      <c r="W272" s="25"/>
      <c r="X272" s="20"/>
      <c r="Y272" s="20"/>
      <c r="Z272" s="20"/>
      <c r="AA272" s="25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3"/>
    </row>
    <row r="273" spans="1:40" x14ac:dyDescent="0.35">
      <c r="B273" s="38"/>
      <c r="C273" s="38" t="s">
        <v>254</v>
      </c>
      <c r="D273" s="39" t="s">
        <v>13</v>
      </c>
      <c r="E273" s="38"/>
      <c r="F273" s="38" t="s">
        <v>182</v>
      </c>
      <c r="G273" s="40"/>
      <c r="I273" s="40"/>
      <c r="J273" s="40"/>
      <c r="K273" s="40"/>
      <c r="L273" s="40"/>
      <c r="M273" s="40"/>
      <c r="O273" s="41">
        <f t="shared" ref="O273:AM273" si="653">ROUND(($D$274*O$261+$D$275*O$196+$D$276*O$88+$D$277*1+$D$278*O$84)*0.9,-1)</f>
        <v>13140</v>
      </c>
      <c r="P273" s="41">
        <f t="shared" si="653"/>
        <v>13140</v>
      </c>
      <c r="Q273" s="41">
        <f t="shared" si="653"/>
        <v>9320</v>
      </c>
      <c r="R273" s="41">
        <f t="shared" si="653"/>
        <v>9320</v>
      </c>
      <c r="S273" s="41">
        <f t="shared" si="653"/>
        <v>9320</v>
      </c>
      <c r="T273" s="41">
        <f t="shared" si="653"/>
        <v>6550</v>
      </c>
      <c r="U273" s="41">
        <f t="shared" si="653"/>
        <v>6550</v>
      </c>
      <c r="V273" s="41">
        <f t="shared" si="653"/>
        <v>6550</v>
      </c>
      <c r="W273" s="41">
        <f t="shared" si="653"/>
        <v>5510</v>
      </c>
      <c r="X273" s="41">
        <f t="shared" si="653"/>
        <v>5510</v>
      </c>
      <c r="Y273" s="41">
        <f t="shared" si="653"/>
        <v>5510</v>
      </c>
      <c r="Z273" s="41">
        <f t="shared" si="653"/>
        <v>5510</v>
      </c>
      <c r="AA273" s="41">
        <f t="shared" si="653"/>
        <v>4730</v>
      </c>
      <c r="AB273" s="41">
        <f t="shared" si="653"/>
        <v>4730</v>
      </c>
      <c r="AC273" s="41">
        <f t="shared" si="653"/>
        <v>4730</v>
      </c>
      <c r="AD273" s="41">
        <f t="shared" si="653"/>
        <v>4730</v>
      </c>
      <c r="AE273" s="41">
        <f t="shared" si="653"/>
        <v>4730</v>
      </c>
      <c r="AF273" s="41">
        <f t="shared" si="653"/>
        <v>4730</v>
      </c>
      <c r="AG273" s="41">
        <f t="shared" si="653"/>
        <v>4730</v>
      </c>
      <c r="AH273" s="41">
        <f t="shared" si="653"/>
        <v>4730</v>
      </c>
      <c r="AI273" s="41">
        <f t="shared" si="653"/>
        <v>4730</v>
      </c>
      <c r="AJ273" s="41">
        <f t="shared" si="653"/>
        <v>4730</v>
      </c>
      <c r="AK273" s="41">
        <f t="shared" si="653"/>
        <v>4730</v>
      </c>
      <c r="AL273" s="41">
        <f t="shared" si="653"/>
        <v>4730</v>
      </c>
      <c r="AM273" s="41">
        <f t="shared" si="653"/>
        <v>4730</v>
      </c>
    </row>
    <row r="274" spans="1:40" x14ac:dyDescent="0.35">
      <c r="A274" s="20"/>
      <c r="B274" s="21"/>
      <c r="C274" s="132" t="str">
        <f>C261</f>
        <v>T1 - Конференц-стол</v>
      </c>
      <c r="D274" s="21">
        <v>2</v>
      </c>
      <c r="E274" s="21"/>
      <c r="F274" s="21"/>
      <c r="G274" s="24"/>
      <c r="H274" s="24"/>
      <c r="I274" s="24"/>
      <c r="J274" s="24"/>
      <c r="K274" s="24"/>
      <c r="L274" s="24"/>
      <c r="M274" s="24"/>
      <c r="N274" s="172"/>
      <c r="O274" s="25"/>
      <c r="P274" s="20"/>
      <c r="Q274" s="25"/>
      <c r="R274" s="20"/>
      <c r="S274" s="20"/>
      <c r="T274" s="25"/>
      <c r="U274" s="20"/>
      <c r="V274" s="20"/>
      <c r="W274" s="25"/>
      <c r="X274" s="20"/>
      <c r="Y274" s="20"/>
      <c r="Z274" s="20"/>
      <c r="AA274" s="25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3"/>
    </row>
    <row r="275" spans="1:40" x14ac:dyDescent="0.35">
      <c r="A275" s="20"/>
      <c r="B275" s="21"/>
      <c r="C275" s="134" t="str">
        <f>C196</f>
        <v>T2 - Стул ИЗО (хром)</v>
      </c>
      <c r="D275" s="21">
        <v>10</v>
      </c>
      <c r="E275" s="21"/>
      <c r="F275" s="21"/>
      <c r="G275" s="24"/>
      <c r="H275" s="24"/>
      <c r="I275" s="24"/>
      <c r="J275" s="24"/>
      <c r="K275" s="24"/>
      <c r="L275" s="24"/>
      <c r="M275" s="24"/>
      <c r="N275" s="172"/>
      <c r="O275" s="25"/>
      <c r="P275" s="20"/>
      <c r="Q275" s="25"/>
      <c r="R275" s="20"/>
      <c r="S275" s="20"/>
      <c r="T275" s="25"/>
      <c r="U275" s="20"/>
      <c r="V275" s="20"/>
      <c r="W275" s="25"/>
      <c r="X275" s="20"/>
      <c r="Y275" s="20"/>
      <c r="Z275" s="20"/>
      <c r="AA275" s="25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3"/>
    </row>
    <row r="276" spans="1:40" x14ac:dyDescent="0.35">
      <c r="A276" s="20"/>
      <c r="B276" s="21"/>
      <c r="C276" s="132" t="s">
        <v>185</v>
      </c>
      <c r="D276" s="21">
        <v>1</v>
      </c>
      <c r="E276" s="21"/>
      <c r="F276" s="21"/>
      <c r="G276" s="24"/>
      <c r="H276" s="24"/>
      <c r="I276" s="24"/>
      <c r="J276" s="24"/>
      <c r="K276" s="24"/>
      <c r="L276" s="24"/>
      <c r="M276" s="24"/>
      <c r="N276" s="172"/>
      <c r="O276" s="25"/>
      <c r="P276" s="20"/>
      <c r="Q276" s="25"/>
      <c r="R276" s="20"/>
      <c r="S276" s="20"/>
      <c r="T276" s="25"/>
      <c r="U276" s="20"/>
      <c r="V276" s="20"/>
      <c r="W276" s="25"/>
      <c r="X276" s="20"/>
      <c r="Y276" s="20"/>
      <c r="Z276" s="20"/>
      <c r="AA276" s="25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3"/>
    </row>
    <row r="277" spans="1:40" x14ac:dyDescent="0.35">
      <c r="A277" s="20"/>
      <c r="B277" s="21"/>
      <c r="C277" s="132" t="str">
        <f>C87</f>
        <v>Корзина для мусора</v>
      </c>
      <c r="D277" s="21">
        <v>1</v>
      </c>
      <c r="E277" s="21"/>
      <c r="F277" s="21"/>
      <c r="G277" s="24"/>
      <c r="H277" s="24"/>
      <c r="I277" s="24"/>
      <c r="J277" s="24"/>
      <c r="K277" s="24"/>
      <c r="L277" s="24"/>
      <c r="M277" s="24"/>
      <c r="N277" s="172"/>
      <c r="O277" s="25"/>
      <c r="P277" s="20"/>
      <c r="Q277" s="25"/>
      <c r="R277" s="20"/>
      <c r="S277" s="20"/>
      <c r="T277" s="25"/>
      <c r="U277" s="20"/>
      <c r="V277" s="20"/>
      <c r="W277" s="25"/>
      <c r="X277" s="20"/>
      <c r="Y277" s="20"/>
      <c r="Z277" s="20"/>
      <c r="AA277" s="25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3"/>
    </row>
    <row r="278" spans="1:40" x14ac:dyDescent="0.35">
      <c r="A278" s="20"/>
      <c r="B278" s="21"/>
      <c r="C278" s="132" t="str">
        <f>C84</f>
        <v>Вешалка напольная</v>
      </c>
      <c r="D278" s="21">
        <v>2</v>
      </c>
      <c r="E278" s="21"/>
      <c r="F278" s="21"/>
      <c r="G278" s="24"/>
      <c r="H278" s="24"/>
      <c r="I278" s="24"/>
      <c r="J278" s="24"/>
      <c r="K278" s="24"/>
      <c r="L278" s="24"/>
      <c r="M278" s="24"/>
      <c r="N278" s="172"/>
      <c r="O278" s="25"/>
      <c r="P278" s="20"/>
      <c r="Q278" s="25"/>
      <c r="R278" s="20"/>
      <c r="S278" s="20"/>
      <c r="T278" s="25"/>
      <c r="U278" s="20"/>
      <c r="V278" s="20"/>
      <c r="W278" s="25"/>
      <c r="X278" s="20"/>
      <c r="Y278" s="20"/>
      <c r="Z278" s="20"/>
      <c r="AA278" s="25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3"/>
    </row>
    <row r="279" spans="1:40" x14ac:dyDescent="0.35">
      <c r="A279" s="20"/>
      <c r="B279" s="21"/>
      <c r="C279" s="133" t="s">
        <v>189</v>
      </c>
      <c r="D279" s="44">
        <v>1</v>
      </c>
      <c r="E279" s="21"/>
      <c r="F279" s="21"/>
      <c r="G279" s="24"/>
      <c r="H279" s="24"/>
      <c r="I279" s="24"/>
      <c r="J279" s="24"/>
      <c r="K279" s="24"/>
      <c r="L279" s="24"/>
      <c r="M279" s="24"/>
      <c r="N279" s="172"/>
      <c r="O279" s="25"/>
      <c r="P279" s="20"/>
      <c r="Q279" s="25"/>
      <c r="R279" s="20"/>
      <c r="S279" s="20"/>
      <c r="T279" s="25"/>
      <c r="U279" s="20"/>
      <c r="V279" s="20"/>
      <c r="W279" s="25"/>
      <c r="X279" s="20"/>
      <c r="Y279" s="20"/>
      <c r="Z279" s="20"/>
      <c r="AA279" s="25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3"/>
    </row>
    <row r="280" spans="1:40" x14ac:dyDescent="0.35">
      <c r="B280" s="38"/>
      <c r="C280" s="38" t="s">
        <v>255</v>
      </c>
      <c r="D280" s="39" t="s">
        <v>13</v>
      </c>
      <c r="E280" s="38"/>
      <c r="F280" s="38" t="s">
        <v>182</v>
      </c>
      <c r="G280" s="40"/>
      <c r="I280" s="40"/>
      <c r="J280" s="40"/>
      <c r="K280" s="40"/>
      <c r="L280" s="40"/>
      <c r="M280" s="40"/>
      <c r="O280" s="41">
        <f t="shared" ref="O280:AM280" si="654">ROUND(($D$281*O$253+$D$282*O$250+$D$283*O$255+$D$284*1+$D$285*O$252+$D$286*O$196+$D$287*O$259+$D$288*O$88+$D$289*O$84)*0.9,-1)</f>
        <v>14320</v>
      </c>
      <c r="P280" s="41">
        <f t="shared" si="654"/>
        <v>14320</v>
      </c>
      <c r="Q280" s="41">
        <f t="shared" si="654"/>
        <v>10220</v>
      </c>
      <c r="R280" s="41">
        <f t="shared" si="654"/>
        <v>10220</v>
      </c>
      <c r="S280" s="41">
        <f t="shared" si="654"/>
        <v>10220</v>
      </c>
      <c r="T280" s="41">
        <f t="shared" si="654"/>
        <v>7160</v>
      </c>
      <c r="U280" s="41">
        <f t="shared" si="654"/>
        <v>7160</v>
      </c>
      <c r="V280" s="41">
        <f t="shared" si="654"/>
        <v>7160</v>
      </c>
      <c r="W280" s="41">
        <f t="shared" si="654"/>
        <v>5980</v>
      </c>
      <c r="X280" s="41">
        <f t="shared" si="654"/>
        <v>5980</v>
      </c>
      <c r="Y280" s="41">
        <f t="shared" si="654"/>
        <v>5980</v>
      </c>
      <c r="Z280" s="41">
        <f t="shared" si="654"/>
        <v>5980</v>
      </c>
      <c r="AA280" s="41">
        <f t="shared" si="654"/>
        <v>5120</v>
      </c>
      <c r="AB280" s="41">
        <f t="shared" si="654"/>
        <v>5120</v>
      </c>
      <c r="AC280" s="41">
        <f t="shared" si="654"/>
        <v>5120</v>
      </c>
      <c r="AD280" s="41">
        <f t="shared" si="654"/>
        <v>5120</v>
      </c>
      <c r="AE280" s="41">
        <f t="shared" si="654"/>
        <v>5120</v>
      </c>
      <c r="AF280" s="41">
        <f t="shared" si="654"/>
        <v>5120</v>
      </c>
      <c r="AG280" s="41">
        <f t="shared" si="654"/>
        <v>5120</v>
      </c>
      <c r="AH280" s="41">
        <f t="shared" si="654"/>
        <v>5120</v>
      </c>
      <c r="AI280" s="41">
        <f t="shared" si="654"/>
        <v>5120</v>
      </c>
      <c r="AJ280" s="41">
        <f t="shared" si="654"/>
        <v>5120</v>
      </c>
      <c r="AK280" s="41">
        <f t="shared" si="654"/>
        <v>5120</v>
      </c>
      <c r="AL280" s="41">
        <f t="shared" si="654"/>
        <v>5120</v>
      </c>
      <c r="AM280" s="41">
        <f t="shared" si="654"/>
        <v>5120</v>
      </c>
    </row>
    <row r="281" spans="1:40" x14ac:dyDescent="0.35">
      <c r="A281" s="20"/>
      <c r="B281" s="21"/>
      <c r="C281" s="22" t="str">
        <f>C253</f>
        <v>T1 - Стол 160 х 80 см</v>
      </c>
      <c r="D281" s="21">
        <v>1</v>
      </c>
      <c r="E281" s="21"/>
      <c r="F281" s="21"/>
      <c r="G281" s="24"/>
      <c r="H281" s="24"/>
      <c r="I281" s="24"/>
      <c r="J281" s="24"/>
      <c r="K281" s="24"/>
      <c r="L281" s="24"/>
      <c r="M281" s="24"/>
      <c r="N281" s="172"/>
      <c r="O281" s="25"/>
      <c r="P281" s="20"/>
      <c r="Q281" s="25"/>
      <c r="R281" s="20"/>
      <c r="S281" s="20"/>
      <c r="T281" s="25"/>
      <c r="U281" s="20"/>
      <c r="V281" s="20"/>
      <c r="W281" s="25"/>
      <c r="X281" s="20"/>
      <c r="Y281" s="20"/>
      <c r="Z281" s="20"/>
      <c r="AA281" s="25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3"/>
    </row>
    <row r="282" spans="1:40" x14ac:dyDescent="0.35">
      <c r="A282" s="20"/>
      <c r="B282" s="21"/>
      <c r="C282" s="27" t="str">
        <f>C250</f>
        <v>T1 - Кресло офисное</v>
      </c>
      <c r="D282" s="21">
        <v>1</v>
      </c>
      <c r="E282" s="21"/>
      <c r="F282" s="21"/>
      <c r="G282" s="24"/>
      <c r="H282" s="24"/>
      <c r="I282" s="24"/>
      <c r="J282" s="24"/>
      <c r="K282" s="24"/>
      <c r="L282" s="24"/>
      <c r="M282" s="24"/>
      <c r="N282" s="172"/>
      <c r="O282" s="25"/>
      <c r="P282" s="20"/>
      <c r="Q282" s="25"/>
      <c r="R282" s="20"/>
      <c r="S282" s="20"/>
      <c r="T282" s="25"/>
      <c r="U282" s="20"/>
      <c r="V282" s="20"/>
      <c r="W282" s="25"/>
      <c r="X282" s="20"/>
      <c r="Y282" s="20"/>
      <c r="Z282" s="20"/>
      <c r="AA282" s="25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3"/>
    </row>
    <row r="283" spans="1:40" x14ac:dyDescent="0.35">
      <c r="A283" s="20"/>
      <c r="B283" s="21"/>
      <c r="C283" s="22" t="str">
        <f>C255</f>
        <v>T1 - Тумба ДСП</v>
      </c>
      <c r="D283" s="21">
        <v>1</v>
      </c>
      <c r="E283" s="21"/>
      <c r="F283" s="21"/>
      <c r="G283" s="24"/>
      <c r="H283" s="24"/>
      <c r="I283" s="24"/>
      <c r="J283" s="24"/>
      <c r="K283" s="24"/>
      <c r="L283" s="24"/>
      <c r="M283" s="24"/>
      <c r="N283" s="172"/>
      <c r="O283" s="25"/>
      <c r="P283" s="20"/>
      <c r="Q283" s="25"/>
      <c r="R283" s="20"/>
      <c r="S283" s="20"/>
      <c r="T283" s="25"/>
      <c r="U283" s="20"/>
      <c r="V283" s="20"/>
      <c r="W283" s="25"/>
      <c r="X283" s="20"/>
      <c r="Y283" s="20"/>
      <c r="Z283" s="20"/>
      <c r="AA283" s="25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3"/>
    </row>
    <row r="284" spans="1:40" x14ac:dyDescent="0.35">
      <c r="A284" s="20"/>
      <c r="B284" s="21"/>
      <c r="C284" s="26" t="str">
        <f>C87</f>
        <v>Корзина для мусора</v>
      </c>
      <c r="D284" s="21">
        <v>1</v>
      </c>
      <c r="E284" s="21"/>
      <c r="F284" s="21"/>
      <c r="G284" s="24"/>
      <c r="H284" s="24"/>
      <c r="I284" s="24"/>
      <c r="J284" s="24"/>
      <c r="K284" s="24"/>
      <c r="L284" s="24"/>
      <c r="M284" s="24"/>
      <c r="N284" s="172"/>
      <c r="O284" s="25"/>
      <c r="P284" s="20"/>
      <c r="Q284" s="25"/>
      <c r="R284" s="20"/>
      <c r="S284" s="20"/>
      <c r="T284" s="25"/>
      <c r="U284" s="20"/>
      <c r="V284" s="20"/>
      <c r="W284" s="25"/>
      <c r="X284" s="20"/>
      <c r="Y284" s="20"/>
      <c r="Z284" s="20"/>
      <c r="AA284" s="25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3"/>
    </row>
    <row r="285" spans="1:40" x14ac:dyDescent="0.35">
      <c r="A285" s="20"/>
      <c r="B285" s="21"/>
      <c r="C285" s="22" t="str">
        <f>C252</f>
        <v>T1 - Стол 120 х 80 см</v>
      </c>
      <c r="D285" s="21">
        <v>1</v>
      </c>
      <c r="E285" s="21"/>
      <c r="F285" s="21"/>
      <c r="G285" s="24"/>
      <c r="H285" s="24"/>
      <c r="I285" s="24"/>
      <c r="J285" s="24"/>
      <c r="K285" s="24"/>
      <c r="L285" s="24"/>
      <c r="M285" s="24"/>
      <c r="N285" s="172"/>
      <c r="O285" s="25"/>
      <c r="P285" s="20"/>
      <c r="Q285" s="25"/>
      <c r="R285" s="20"/>
      <c r="S285" s="20"/>
      <c r="T285" s="25"/>
      <c r="U285" s="20"/>
      <c r="V285" s="20"/>
      <c r="W285" s="25"/>
      <c r="X285" s="20"/>
      <c r="Y285" s="20"/>
      <c r="Z285" s="20"/>
      <c r="AA285" s="25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3"/>
    </row>
    <row r="286" spans="1:40" x14ac:dyDescent="0.35">
      <c r="A286" s="20"/>
      <c r="B286" s="21"/>
      <c r="C286" s="22" t="str">
        <f>C196</f>
        <v>T2 - Стул ИЗО (хром)</v>
      </c>
      <c r="D286" s="21">
        <v>2</v>
      </c>
      <c r="E286" s="21"/>
      <c r="F286" s="21"/>
      <c r="G286" s="24"/>
      <c r="H286" s="24"/>
      <c r="I286" s="24"/>
      <c r="J286" s="24"/>
      <c r="K286" s="24"/>
      <c r="L286" s="24"/>
      <c r="M286" s="24"/>
      <c r="N286" s="172"/>
      <c r="O286" s="25"/>
      <c r="P286" s="20"/>
      <c r="Q286" s="25"/>
      <c r="R286" s="20"/>
      <c r="S286" s="20"/>
      <c r="T286" s="25"/>
      <c r="U286" s="20"/>
      <c r="V286" s="20"/>
      <c r="W286" s="25"/>
      <c r="X286" s="20"/>
      <c r="Y286" s="20"/>
      <c r="Z286" s="20"/>
      <c r="AA286" s="25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3"/>
    </row>
    <row r="287" spans="1:40" x14ac:dyDescent="0.35">
      <c r="A287" s="20"/>
      <c r="B287" s="21"/>
      <c r="C287" s="22" t="str">
        <f>C258</f>
        <v>T1 - Шкаф офисный для документов</v>
      </c>
      <c r="D287" s="21">
        <v>1</v>
      </c>
      <c r="E287" s="21"/>
      <c r="F287" s="21"/>
      <c r="G287" s="24"/>
      <c r="H287" s="24"/>
      <c r="I287" s="24"/>
      <c r="J287" s="24"/>
      <c r="K287" s="24"/>
      <c r="L287" s="24"/>
      <c r="M287" s="24"/>
      <c r="N287" s="172"/>
      <c r="O287" s="25"/>
      <c r="P287" s="20"/>
      <c r="Q287" s="25"/>
      <c r="R287" s="20"/>
      <c r="S287" s="20"/>
      <c r="T287" s="25"/>
      <c r="U287" s="20"/>
      <c r="V287" s="20"/>
      <c r="W287" s="25"/>
      <c r="X287" s="20"/>
      <c r="Y287" s="20"/>
      <c r="Z287" s="20"/>
      <c r="AA287" s="25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3"/>
    </row>
    <row r="288" spans="1:40" x14ac:dyDescent="0.35">
      <c r="A288" s="20"/>
      <c r="B288" s="21"/>
      <c r="C288" s="26" t="s">
        <v>185</v>
      </c>
      <c r="D288" s="21">
        <v>1</v>
      </c>
      <c r="E288" s="21"/>
      <c r="F288" s="21"/>
      <c r="G288" s="24"/>
      <c r="H288" s="24"/>
      <c r="I288" s="24"/>
      <c r="J288" s="24"/>
      <c r="K288" s="24"/>
      <c r="L288" s="24"/>
      <c r="M288" s="24"/>
      <c r="N288" s="172"/>
      <c r="O288" s="25"/>
      <c r="P288" s="20"/>
      <c r="Q288" s="25"/>
      <c r="R288" s="20"/>
      <c r="S288" s="20"/>
      <c r="T288" s="25"/>
      <c r="U288" s="20"/>
      <c r="V288" s="20"/>
      <c r="W288" s="25"/>
      <c r="X288" s="20"/>
      <c r="Y288" s="20"/>
      <c r="Z288" s="20"/>
      <c r="AA288" s="25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3"/>
    </row>
    <row r="289" spans="1:40" x14ac:dyDescent="0.35">
      <c r="A289" s="20"/>
      <c r="B289" s="21"/>
      <c r="C289" s="22" t="str">
        <f>C84</f>
        <v>Вешалка напольная</v>
      </c>
      <c r="D289" s="21">
        <v>1</v>
      </c>
      <c r="E289" s="21"/>
      <c r="F289" s="21"/>
      <c r="G289" s="24"/>
      <c r="H289" s="24"/>
      <c r="I289" s="24"/>
      <c r="J289" s="24"/>
      <c r="K289" s="24"/>
      <c r="L289" s="24"/>
      <c r="M289" s="24"/>
      <c r="N289" s="172"/>
      <c r="O289" s="25"/>
      <c r="P289" s="20"/>
      <c r="Q289" s="25"/>
      <c r="R289" s="20"/>
      <c r="S289" s="20"/>
      <c r="T289" s="25"/>
      <c r="U289" s="20"/>
      <c r="V289" s="20"/>
      <c r="W289" s="25"/>
      <c r="X289" s="20"/>
      <c r="Y289" s="20"/>
      <c r="Z289" s="20"/>
      <c r="AA289" s="25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3"/>
    </row>
    <row r="290" spans="1:40" x14ac:dyDescent="0.35">
      <c r="B290" s="38"/>
      <c r="C290" s="38" t="s">
        <v>258</v>
      </c>
      <c r="D290" s="39" t="s">
        <v>13</v>
      </c>
      <c r="E290" s="38"/>
      <c r="F290" s="38" t="s">
        <v>182</v>
      </c>
      <c r="G290" s="40"/>
      <c r="I290" s="40"/>
      <c r="J290" s="40"/>
      <c r="K290" s="40"/>
      <c r="L290" s="40"/>
      <c r="M290" s="40"/>
      <c r="O290" s="41">
        <f>ROUND(($D$291*O$253+$D$292*O$250+$D$293*O$255+$D$294*1)*0.9,-1)</f>
        <v>7740</v>
      </c>
      <c r="P290" s="41">
        <f t="shared" ref="P290:AM290" si="655">ROUND(($D$291*P$253+$D$292*P$250+$D$293*P$255+$D$294*1)*0.9,-1)</f>
        <v>7740</v>
      </c>
      <c r="Q290" s="41">
        <f t="shared" si="655"/>
        <v>5530</v>
      </c>
      <c r="R290" s="41">
        <f t="shared" si="655"/>
        <v>5530</v>
      </c>
      <c r="S290" s="41">
        <f t="shared" si="655"/>
        <v>5530</v>
      </c>
      <c r="T290" s="41">
        <f t="shared" si="655"/>
        <v>3870</v>
      </c>
      <c r="U290" s="41">
        <f t="shared" si="655"/>
        <v>3870</v>
      </c>
      <c r="V290" s="41">
        <f t="shared" si="655"/>
        <v>3870</v>
      </c>
      <c r="W290" s="41">
        <f t="shared" si="655"/>
        <v>3220</v>
      </c>
      <c r="X290" s="41">
        <f t="shared" si="655"/>
        <v>3220</v>
      </c>
      <c r="Y290" s="41">
        <f t="shared" si="655"/>
        <v>3220</v>
      </c>
      <c r="Z290" s="41">
        <f t="shared" si="655"/>
        <v>3220</v>
      </c>
      <c r="AA290" s="41">
        <f t="shared" si="655"/>
        <v>2760</v>
      </c>
      <c r="AB290" s="41">
        <f t="shared" si="655"/>
        <v>2760</v>
      </c>
      <c r="AC290" s="41">
        <f t="shared" si="655"/>
        <v>2760</v>
      </c>
      <c r="AD290" s="41">
        <f t="shared" si="655"/>
        <v>2760</v>
      </c>
      <c r="AE290" s="41">
        <f t="shared" si="655"/>
        <v>2760</v>
      </c>
      <c r="AF290" s="41">
        <f t="shared" si="655"/>
        <v>2760</v>
      </c>
      <c r="AG290" s="41">
        <f t="shared" si="655"/>
        <v>2760</v>
      </c>
      <c r="AH290" s="41">
        <f t="shared" si="655"/>
        <v>2760</v>
      </c>
      <c r="AI290" s="41">
        <f t="shared" si="655"/>
        <v>2760</v>
      </c>
      <c r="AJ290" s="41">
        <f t="shared" si="655"/>
        <v>2760</v>
      </c>
      <c r="AK290" s="41">
        <f t="shared" si="655"/>
        <v>2760</v>
      </c>
      <c r="AL290" s="41">
        <f t="shared" si="655"/>
        <v>2760</v>
      </c>
      <c r="AM290" s="41">
        <f t="shared" si="655"/>
        <v>2760</v>
      </c>
    </row>
    <row r="291" spans="1:40" x14ac:dyDescent="0.35">
      <c r="A291" s="20"/>
      <c r="B291" s="21"/>
      <c r="C291" s="22" t="str">
        <f>C253</f>
        <v>T1 - Стол 160 х 80 см</v>
      </c>
      <c r="D291" s="21">
        <v>1</v>
      </c>
      <c r="E291" s="21"/>
      <c r="F291" s="21"/>
      <c r="G291" s="24"/>
      <c r="H291" s="24"/>
      <c r="I291" s="24"/>
      <c r="J291" s="24"/>
      <c r="K291" s="24"/>
      <c r="L291" s="24"/>
      <c r="M291" s="24"/>
      <c r="N291" s="172"/>
      <c r="O291" s="25"/>
      <c r="P291" s="20"/>
      <c r="Q291" s="25"/>
      <c r="R291" s="20"/>
      <c r="S291" s="20"/>
      <c r="T291" s="25"/>
      <c r="U291" s="20"/>
      <c r="V291" s="20"/>
      <c r="W291" s="25"/>
      <c r="X291" s="20"/>
      <c r="Y291" s="20"/>
      <c r="Z291" s="20"/>
      <c r="AA291" s="25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3"/>
    </row>
    <row r="292" spans="1:40" x14ac:dyDescent="0.35">
      <c r="A292" s="20"/>
      <c r="B292" s="21"/>
      <c r="C292" s="27" t="str">
        <f>C250</f>
        <v>T1 - Кресло офисное</v>
      </c>
      <c r="D292" s="21">
        <v>1</v>
      </c>
      <c r="E292" s="21"/>
      <c r="F292" s="21"/>
      <c r="G292" s="24"/>
      <c r="H292" s="24"/>
      <c r="I292" s="24"/>
      <c r="J292" s="24"/>
      <c r="K292" s="24"/>
      <c r="L292" s="24"/>
      <c r="M292" s="24"/>
      <c r="N292" s="172"/>
      <c r="O292" s="25"/>
      <c r="P292" s="20"/>
      <c r="Q292" s="25"/>
      <c r="R292" s="20"/>
      <c r="S292" s="20"/>
      <c r="T292" s="25"/>
      <c r="U292" s="20"/>
      <c r="V292" s="20"/>
      <c r="W292" s="25"/>
      <c r="X292" s="20"/>
      <c r="Y292" s="20"/>
      <c r="Z292" s="20"/>
      <c r="AA292" s="25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3"/>
    </row>
    <row r="293" spans="1:40" x14ac:dyDescent="0.35">
      <c r="A293" s="20"/>
      <c r="B293" s="21"/>
      <c r="C293" s="22" t="str">
        <f>C255</f>
        <v>T1 - Тумба ДСП</v>
      </c>
      <c r="D293" s="21">
        <v>1</v>
      </c>
      <c r="E293" s="21"/>
      <c r="F293" s="21"/>
      <c r="G293" s="24"/>
      <c r="H293" s="24"/>
      <c r="I293" s="24"/>
      <c r="J293" s="24"/>
      <c r="K293" s="24"/>
      <c r="L293" s="24"/>
      <c r="M293" s="24"/>
      <c r="N293" s="172"/>
      <c r="O293" s="25"/>
      <c r="P293" s="20"/>
      <c r="Q293" s="25"/>
      <c r="R293" s="20"/>
      <c r="S293" s="20"/>
      <c r="T293" s="25"/>
      <c r="U293" s="20"/>
      <c r="V293" s="20"/>
      <c r="W293" s="25"/>
      <c r="X293" s="20"/>
      <c r="Y293" s="20"/>
      <c r="Z293" s="20"/>
      <c r="AA293" s="25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3"/>
    </row>
    <row r="294" spans="1:40" x14ac:dyDescent="0.35">
      <c r="A294" s="20"/>
      <c r="B294" s="21"/>
      <c r="C294" s="26" t="str">
        <f>C87</f>
        <v>Корзина для мусора</v>
      </c>
      <c r="D294" s="21">
        <v>1</v>
      </c>
      <c r="E294" s="21"/>
      <c r="F294" s="21"/>
      <c r="G294" s="24"/>
      <c r="H294" s="24"/>
      <c r="I294" s="24"/>
      <c r="J294" s="24"/>
      <c r="K294" s="24"/>
      <c r="L294" s="24"/>
      <c r="M294" s="24"/>
      <c r="N294" s="172"/>
      <c r="O294" s="25"/>
      <c r="P294" s="20"/>
      <c r="Q294" s="25"/>
      <c r="R294" s="20"/>
      <c r="S294" s="20"/>
      <c r="T294" s="25"/>
      <c r="U294" s="20"/>
      <c r="V294" s="20"/>
      <c r="W294" s="25"/>
      <c r="X294" s="20"/>
      <c r="Y294" s="20"/>
      <c r="Z294" s="20"/>
      <c r="AA294" s="25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3"/>
    </row>
    <row r="295" spans="1:40" x14ac:dyDescent="0.35">
      <c r="A295" s="161">
        <v>44470</v>
      </c>
      <c r="B295" s="159"/>
      <c r="C295" s="38" t="s">
        <v>259</v>
      </c>
      <c r="D295" s="39" t="s">
        <v>13</v>
      </c>
      <c r="E295" s="38"/>
      <c r="F295" s="38" t="s">
        <v>182</v>
      </c>
      <c r="G295" s="40"/>
      <c r="I295" s="40"/>
      <c r="J295" s="40"/>
      <c r="K295" s="40"/>
      <c r="L295" s="40"/>
      <c r="M295" s="40"/>
      <c r="O295" s="41">
        <f>O251</f>
        <v>38000</v>
      </c>
      <c r="P295" s="41">
        <f t="shared" ref="P295:AM295" si="656">P251</f>
        <v>38000</v>
      </c>
      <c r="Q295" s="41">
        <f t="shared" si="656"/>
        <v>27140</v>
      </c>
      <c r="R295" s="41">
        <f t="shared" si="656"/>
        <v>27140</v>
      </c>
      <c r="S295" s="41">
        <f t="shared" si="656"/>
        <v>27140</v>
      </c>
      <c r="T295" s="41">
        <f t="shared" si="656"/>
        <v>19000</v>
      </c>
      <c r="U295" s="41">
        <f t="shared" si="656"/>
        <v>19000</v>
      </c>
      <c r="V295" s="41">
        <f t="shared" si="656"/>
        <v>19000</v>
      </c>
      <c r="W295" s="41">
        <f t="shared" si="656"/>
        <v>15830</v>
      </c>
      <c r="X295" s="41">
        <f t="shared" si="656"/>
        <v>15830</v>
      </c>
      <c r="Y295" s="41">
        <f t="shared" si="656"/>
        <v>15830</v>
      </c>
      <c r="Z295" s="41">
        <f t="shared" si="656"/>
        <v>15830</v>
      </c>
      <c r="AA295" s="41">
        <f t="shared" si="656"/>
        <v>13570</v>
      </c>
      <c r="AB295" s="41">
        <f t="shared" si="656"/>
        <v>13570</v>
      </c>
      <c r="AC295" s="41">
        <f t="shared" si="656"/>
        <v>13570</v>
      </c>
      <c r="AD295" s="41">
        <f t="shared" si="656"/>
        <v>13570</v>
      </c>
      <c r="AE295" s="41">
        <f t="shared" si="656"/>
        <v>13570</v>
      </c>
      <c r="AF295" s="41">
        <f t="shared" si="656"/>
        <v>13570</v>
      </c>
      <c r="AG295" s="41">
        <f t="shared" si="656"/>
        <v>13570</v>
      </c>
      <c r="AH295" s="41">
        <f t="shared" si="656"/>
        <v>13570</v>
      </c>
      <c r="AI295" s="41">
        <f t="shared" si="656"/>
        <v>13570</v>
      </c>
      <c r="AJ295" s="41">
        <f t="shared" si="656"/>
        <v>13570</v>
      </c>
      <c r="AK295" s="41">
        <f t="shared" si="656"/>
        <v>13570</v>
      </c>
      <c r="AL295" s="41">
        <f t="shared" si="656"/>
        <v>13570</v>
      </c>
      <c r="AM295" s="41">
        <f t="shared" si="656"/>
        <v>13570</v>
      </c>
    </row>
    <row r="296" spans="1:40" x14ac:dyDescent="0.35">
      <c r="B296" s="3"/>
      <c r="C296" s="47" t="s">
        <v>324</v>
      </c>
      <c r="D296" s="3">
        <v>1</v>
      </c>
      <c r="E296" s="3"/>
      <c r="F296" s="3"/>
    </row>
    <row r="297" spans="1:40" x14ac:dyDescent="0.35">
      <c r="B297" s="104"/>
      <c r="C297" s="38" t="s">
        <v>304</v>
      </c>
      <c r="D297" s="39" t="s">
        <v>13</v>
      </c>
      <c r="E297" s="38"/>
      <c r="F297" s="38" t="s">
        <v>182</v>
      </c>
      <c r="G297" s="40"/>
      <c r="I297" s="40"/>
      <c r="J297" s="40"/>
      <c r="K297" s="40"/>
      <c r="L297" s="40"/>
      <c r="M297" s="40"/>
      <c r="O297" s="48">
        <v>1450</v>
      </c>
      <c r="P297" s="48">
        <v>1450</v>
      </c>
      <c r="Q297" s="48">
        <v>1450</v>
      </c>
      <c r="R297" s="48">
        <v>1450</v>
      </c>
      <c r="S297" s="48">
        <v>1450</v>
      </c>
      <c r="T297" s="48">
        <v>1450</v>
      </c>
      <c r="U297" s="48">
        <v>1450</v>
      </c>
      <c r="V297" s="48">
        <v>1450</v>
      </c>
      <c r="W297" s="48">
        <v>1450</v>
      </c>
      <c r="X297" s="48">
        <v>1450</v>
      </c>
      <c r="Y297" s="48">
        <v>1450</v>
      </c>
      <c r="Z297" s="48">
        <v>1450</v>
      </c>
      <c r="AA297" s="48">
        <v>1450</v>
      </c>
      <c r="AB297" s="48">
        <v>1450</v>
      </c>
      <c r="AC297" s="48">
        <v>1450</v>
      </c>
      <c r="AD297" s="48">
        <v>1450</v>
      </c>
      <c r="AE297" s="48">
        <v>1450</v>
      </c>
      <c r="AF297" s="48">
        <v>1450</v>
      </c>
      <c r="AG297" s="48">
        <v>1450</v>
      </c>
      <c r="AH297" s="48">
        <v>1450</v>
      </c>
      <c r="AI297" s="48">
        <v>1450</v>
      </c>
      <c r="AJ297" s="48">
        <v>1450</v>
      </c>
      <c r="AK297" s="48">
        <v>1450</v>
      </c>
      <c r="AL297" s="48">
        <v>1450</v>
      </c>
      <c r="AM297" s="48">
        <v>1450</v>
      </c>
    </row>
    <row r="298" spans="1:40" x14ac:dyDescent="0.35">
      <c r="B298" s="104"/>
      <c r="C298" s="47" t="s">
        <v>193</v>
      </c>
      <c r="D298" s="3" t="s">
        <v>198</v>
      </c>
      <c r="E298" s="3"/>
      <c r="F298" s="3"/>
    </row>
    <row r="299" spans="1:40" x14ac:dyDescent="0.35">
      <c r="B299" s="104"/>
      <c r="C299" s="47" t="s">
        <v>195</v>
      </c>
      <c r="D299" s="3" t="s">
        <v>199</v>
      </c>
      <c r="E299" s="3"/>
      <c r="F299" s="3"/>
    </row>
    <row r="300" spans="1:40" x14ac:dyDescent="0.35">
      <c r="B300" s="104"/>
      <c r="C300" s="47" t="s">
        <v>137</v>
      </c>
      <c r="D300" s="3" t="s">
        <v>200</v>
      </c>
      <c r="E300" s="3"/>
      <c r="F300" s="3"/>
    </row>
    <row r="301" spans="1:40" x14ac:dyDescent="0.35">
      <c r="B301" s="104"/>
      <c r="C301" s="47" t="s">
        <v>184</v>
      </c>
      <c r="D301" s="3" t="s">
        <v>201</v>
      </c>
      <c r="E301" s="3"/>
      <c r="F301" s="3"/>
    </row>
    <row r="302" spans="1:40" x14ac:dyDescent="0.35">
      <c r="B302" s="104"/>
      <c r="C302" s="47" t="s">
        <v>194</v>
      </c>
      <c r="D302" s="3" t="s">
        <v>201</v>
      </c>
      <c r="E302" s="3"/>
      <c r="F302" s="3"/>
    </row>
    <row r="303" spans="1:40" x14ac:dyDescent="0.35">
      <c r="B303" s="38"/>
      <c r="C303" s="38" t="s">
        <v>314</v>
      </c>
      <c r="D303" s="39" t="s">
        <v>13</v>
      </c>
      <c r="E303" s="38"/>
      <c r="F303" s="38" t="s">
        <v>182</v>
      </c>
      <c r="G303" s="40"/>
      <c r="I303" s="40"/>
      <c r="J303" s="40"/>
      <c r="K303" s="40"/>
      <c r="L303" s="40"/>
      <c r="M303" s="40"/>
      <c r="O303" s="41">
        <f>O240+500</f>
        <v>7550</v>
      </c>
      <c r="P303" s="41">
        <f t="shared" ref="P303:AM303" si="657">P240+500</f>
        <v>7550</v>
      </c>
      <c r="Q303" s="41">
        <f t="shared" si="657"/>
        <v>5620</v>
      </c>
      <c r="R303" s="41">
        <f t="shared" si="657"/>
        <v>5620</v>
      </c>
      <c r="S303" s="41">
        <f t="shared" si="657"/>
        <v>5620</v>
      </c>
      <c r="T303" s="41">
        <f t="shared" si="657"/>
        <v>4900</v>
      </c>
      <c r="U303" s="41">
        <f t="shared" si="657"/>
        <v>4900</v>
      </c>
      <c r="V303" s="41">
        <f t="shared" si="657"/>
        <v>4900</v>
      </c>
      <c r="W303" s="41">
        <f t="shared" si="657"/>
        <v>4400</v>
      </c>
      <c r="X303" s="41">
        <f t="shared" si="657"/>
        <v>4400</v>
      </c>
      <c r="Y303" s="41">
        <f t="shared" si="657"/>
        <v>4400</v>
      </c>
      <c r="Z303" s="41">
        <f t="shared" si="657"/>
        <v>4400</v>
      </c>
      <c r="AA303" s="41">
        <f t="shared" si="657"/>
        <v>4040</v>
      </c>
      <c r="AB303" s="41">
        <f t="shared" si="657"/>
        <v>4040</v>
      </c>
      <c r="AC303" s="41">
        <f t="shared" si="657"/>
        <v>4040</v>
      </c>
      <c r="AD303" s="41">
        <f t="shared" si="657"/>
        <v>4040</v>
      </c>
      <c r="AE303" s="41">
        <f t="shared" si="657"/>
        <v>4040</v>
      </c>
      <c r="AF303" s="41">
        <f t="shared" si="657"/>
        <v>4040</v>
      </c>
      <c r="AG303" s="41">
        <f t="shared" si="657"/>
        <v>4040</v>
      </c>
      <c r="AH303" s="41">
        <f t="shared" si="657"/>
        <v>4040</v>
      </c>
      <c r="AI303" s="41">
        <f t="shared" si="657"/>
        <v>4040</v>
      </c>
      <c r="AJ303" s="41">
        <f t="shared" si="657"/>
        <v>4040</v>
      </c>
      <c r="AK303" s="41">
        <f t="shared" si="657"/>
        <v>4040</v>
      </c>
      <c r="AL303" s="41">
        <f t="shared" si="657"/>
        <v>4040</v>
      </c>
      <c r="AM303" s="41">
        <f t="shared" si="657"/>
        <v>4040</v>
      </c>
      <c r="AN303" s="50"/>
    </row>
    <row r="304" spans="1:40" x14ac:dyDescent="0.35">
      <c r="B304" s="3"/>
      <c r="C304" s="2" t="s">
        <v>127</v>
      </c>
      <c r="D304" s="3">
        <v>5</v>
      </c>
      <c r="E304" s="3"/>
      <c r="F304" s="3"/>
    </row>
    <row r="305" spans="1:40" x14ac:dyDescent="0.35">
      <c r="B305" s="3"/>
      <c r="C305" s="105" t="s">
        <v>251</v>
      </c>
      <c r="D305" s="3"/>
      <c r="E305" s="3"/>
      <c r="F305" s="3"/>
    </row>
    <row r="306" spans="1:40" x14ac:dyDescent="0.35">
      <c r="B306" s="3"/>
      <c r="C306" s="105" t="s">
        <v>260</v>
      </c>
      <c r="D306" s="3"/>
      <c r="E306" s="3"/>
      <c r="F306" s="3"/>
    </row>
    <row r="307" spans="1:40" x14ac:dyDescent="0.35">
      <c r="B307" s="38"/>
      <c r="C307" s="38" t="s">
        <v>312</v>
      </c>
      <c r="D307" s="39" t="s">
        <v>13</v>
      </c>
      <c r="E307" s="38"/>
      <c r="F307" s="38" t="s">
        <v>182</v>
      </c>
      <c r="G307" s="40"/>
      <c r="I307" s="40"/>
      <c r="J307" s="40"/>
      <c r="K307" s="40"/>
      <c r="L307" s="40"/>
      <c r="M307" s="40"/>
      <c r="O307" s="41">
        <f t="shared" ref="O307:AM307" si="658">ROUND(($D$308*O$107+$D$309*O$121+$D$310*O$101+$D$311*O$100+$D$312*$M$87)*0.9,-1)</f>
        <v>27140</v>
      </c>
      <c r="P307" s="41">
        <f t="shared" si="658"/>
        <v>27140</v>
      </c>
      <c r="Q307" s="41">
        <f t="shared" si="658"/>
        <v>18240</v>
      </c>
      <c r="R307" s="41">
        <f t="shared" si="658"/>
        <v>18240</v>
      </c>
      <c r="S307" s="41">
        <f t="shared" si="658"/>
        <v>18240</v>
      </c>
      <c r="T307" s="41">
        <f t="shared" si="658"/>
        <v>13930</v>
      </c>
      <c r="U307" s="41">
        <f t="shared" si="658"/>
        <v>13930</v>
      </c>
      <c r="V307" s="41">
        <f t="shared" si="658"/>
        <v>13930</v>
      </c>
      <c r="W307" s="41">
        <f t="shared" si="658"/>
        <v>11920</v>
      </c>
      <c r="X307" s="41">
        <f t="shared" si="658"/>
        <v>11920</v>
      </c>
      <c r="Y307" s="41">
        <f t="shared" si="658"/>
        <v>11920</v>
      </c>
      <c r="Z307" s="41">
        <f t="shared" si="658"/>
        <v>11920</v>
      </c>
      <c r="AA307" s="41">
        <f t="shared" si="658"/>
        <v>10470</v>
      </c>
      <c r="AB307" s="41">
        <f t="shared" si="658"/>
        <v>10470</v>
      </c>
      <c r="AC307" s="41">
        <f t="shared" si="658"/>
        <v>10470</v>
      </c>
      <c r="AD307" s="41">
        <f t="shared" si="658"/>
        <v>10470</v>
      </c>
      <c r="AE307" s="41">
        <f t="shared" si="658"/>
        <v>10470</v>
      </c>
      <c r="AF307" s="41">
        <f t="shared" si="658"/>
        <v>10470</v>
      </c>
      <c r="AG307" s="41">
        <f t="shared" si="658"/>
        <v>10470</v>
      </c>
      <c r="AH307" s="41">
        <f t="shared" si="658"/>
        <v>10470</v>
      </c>
      <c r="AI307" s="41">
        <f t="shared" si="658"/>
        <v>10470</v>
      </c>
      <c r="AJ307" s="41">
        <f t="shared" si="658"/>
        <v>10470</v>
      </c>
      <c r="AK307" s="41">
        <f t="shared" si="658"/>
        <v>10470</v>
      </c>
      <c r="AL307" s="41">
        <f t="shared" si="658"/>
        <v>10470</v>
      </c>
      <c r="AM307" s="41">
        <f t="shared" si="658"/>
        <v>10470</v>
      </c>
    </row>
    <row r="308" spans="1:40" x14ac:dyDescent="0.35">
      <c r="A308" s="20"/>
      <c r="B308" s="21"/>
      <c r="C308" s="49" t="str">
        <f>C107</f>
        <v>T3 - Шкаф д/одежды двухстворчатый 1750х800х500 мм</v>
      </c>
      <c r="D308" s="21">
        <v>3</v>
      </c>
      <c r="E308" s="21"/>
      <c r="F308" s="21"/>
      <c r="G308" s="24"/>
      <c r="H308" s="24"/>
      <c r="I308" s="24"/>
      <c r="J308" s="24"/>
      <c r="K308" s="24"/>
      <c r="L308" s="24"/>
      <c r="M308" s="24"/>
      <c r="N308" s="172"/>
      <c r="O308" s="25"/>
      <c r="P308" s="20"/>
      <c r="Q308" s="25"/>
      <c r="R308" s="20"/>
      <c r="S308" s="20"/>
      <c r="T308" s="25"/>
      <c r="U308" s="20"/>
      <c r="V308" s="20"/>
      <c r="W308" s="25"/>
      <c r="X308" s="20"/>
      <c r="Y308" s="20"/>
      <c r="Z308" s="20"/>
      <c r="AA308" s="25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3"/>
    </row>
    <row r="309" spans="1:40" x14ac:dyDescent="0.35">
      <c r="A309" s="20"/>
      <c r="B309" s="21"/>
      <c r="C309" s="49" t="str">
        <f>C121</f>
        <v>Шкаф сушильный ШС Ветерок 1940</v>
      </c>
      <c r="D309" s="21">
        <v>2</v>
      </c>
      <c r="E309" s="21"/>
      <c r="F309" s="21"/>
      <c r="G309" s="24"/>
      <c r="H309" s="24"/>
      <c r="I309" s="24"/>
      <c r="J309" s="24"/>
      <c r="K309" s="24"/>
      <c r="L309" s="24"/>
      <c r="M309" s="24"/>
      <c r="N309" s="172"/>
      <c r="O309" s="25"/>
      <c r="P309" s="20"/>
      <c r="Q309" s="25"/>
      <c r="R309" s="20"/>
      <c r="S309" s="20"/>
      <c r="T309" s="25"/>
      <c r="U309" s="20"/>
      <c r="V309" s="20"/>
      <c r="W309" s="25"/>
      <c r="X309" s="20"/>
      <c r="Y309" s="20"/>
      <c r="Z309" s="20"/>
      <c r="AA309" s="25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3"/>
    </row>
    <row r="310" spans="1:40" x14ac:dyDescent="0.35">
      <c r="C310" s="49" t="str">
        <f>C196</f>
        <v>T2 - Стул ИЗО (хром)</v>
      </c>
      <c r="D310" s="21">
        <v>4</v>
      </c>
    </row>
    <row r="311" spans="1:40" x14ac:dyDescent="0.35">
      <c r="C311" s="49" t="str">
        <f>C195</f>
        <v>T2 - Стол 80 х 80 см</v>
      </c>
      <c r="D311" s="21">
        <v>2</v>
      </c>
    </row>
    <row r="312" spans="1:40" x14ac:dyDescent="0.35">
      <c r="C312" s="49" t="str">
        <f>C87</f>
        <v>Корзина для мусора</v>
      </c>
      <c r="D312" s="21">
        <v>1</v>
      </c>
    </row>
  </sheetData>
  <autoFilter ref="A1:AM312" xr:uid="{B913F8CA-1119-4BAE-B652-762EE5201B70}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22" sqref="E22"/>
    </sheetView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7"/>
  <sheetViews>
    <sheetView topLeftCell="A61" zoomScale="115" zoomScaleNormal="115" workbookViewId="0">
      <selection activeCell="L9" sqref="L9"/>
    </sheetView>
  </sheetViews>
  <sheetFormatPr defaultRowHeight="14.5" x14ac:dyDescent="0.35"/>
  <cols>
    <col min="1" max="1" width="9.7265625" customWidth="1"/>
    <col min="2" max="2" width="44.08984375" customWidth="1"/>
    <col min="3" max="4" width="5.26953125" customWidth="1"/>
    <col min="5" max="5" width="44.08984375" customWidth="1"/>
    <col min="6" max="7" width="5.26953125" customWidth="1"/>
    <col min="8" max="8" width="44.08984375" customWidth="1"/>
    <col min="9" max="10" width="5.26953125" customWidth="1"/>
    <col min="13" max="13" width="9.08984375" customWidth="1"/>
  </cols>
  <sheetData>
    <row r="1" spans="1:10" ht="15.5" x14ac:dyDescent="0.35">
      <c r="A1" s="124"/>
    </row>
    <row r="2" spans="1:10" ht="15" thickBot="1" x14ac:dyDescent="0.4">
      <c r="B2" s="136"/>
      <c r="C2" s="136"/>
      <c r="D2" s="136"/>
      <c r="E2" s="136"/>
      <c r="F2" s="136"/>
      <c r="G2" s="136"/>
      <c r="H2" s="136"/>
      <c r="I2" s="136"/>
    </row>
    <row r="3" spans="1:10" s="124" customFormat="1" ht="16" thickTop="1" x14ac:dyDescent="0.35">
      <c r="B3" s="126" t="str">
        <f>Рар_Модули!C139</f>
        <v>T3 - Столовая</v>
      </c>
      <c r="C3" s="126"/>
      <c r="D3" s="126"/>
      <c r="E3" s="125" t="str">
        <f>Рар_Модули!C203</f>
        <v>T2 - Столовая</v>
      </c>
      <c r="F3" s="125"/>
      <c r="G3" s="135"/>
      <c r="H3" s="127" t="str">
        <f>Рар_Модули!C266</f>
        <v>T1 - Столовая</v>
      </c>
      <c r="I3" s="127"/>
      <c r="J3" s="135"/>
    </row>
    <row r="4" spans="1:10" x14ac:dyDescent="0.35">
      <c r="B4" t="str">
        <f>Рар_Модули!C141</f>
        <v>T3 - Стол 160 х 80 см</v>
      </c>
      <c r="C4">
        <f>Рар_Модули!D141</f>
        <v>2</v>
      </c>
      <c r="E4" t="str">
        <f>Рар_Модули!C204</f>
        <v>T2 - Стол 160 х 80 см</v>
      </c>
      <c r="F4">
        <f>Рар_Модули!D204</f>
        <v>2</v>
      </c>
      <c r="H4" t="str">
        <f>Рар_Модули!C267</f>
        <v>T1 - Стол круглый D120 см</v>
      </c>
      <c r="I4">
        <f>Рар_Модули!D267</f>
        <v>2</v>
      </c>
    </row>
    <row r="5" spans="1:10" x14ac:dyDescent="0.35">
      <c r="B5" t="str">
        <f>Рар_Модули!C142</f>
        <v>Т3-Стул ИЗО (черная рама)</v>
      </c>
      <c r="C5">
        <f>Рар_Модули!D142</f>
        <v>12</v>
      </c>
      <c r="E5" t="str">
        <f>Рар_Модули!C205</f>
        <v>T3 - Стул ИЗО (черная рама)</v>
      </c>
      <c r="F5">
        <f>Рар_Модули!D205</f>
        <v>12</v>
      </c>
      <c r="H5" t="str">
        <f>Рар_Модули!C268</f>
        <v>T2 - Стул ИЗО (хром)</v>
      </c>
      <c r="I5">
        <f>Рар_Модули!D268</f>
        <v>8</v>
      </c>
    </row>
    <row r="6" spans="1:10" x14ac:dyDescent="0.35">
      <c r="B6" t="str">
        <f>Рар_Модули!C143</f>
        <v>Корзина для мусора</v>
      </c>
      <c r="C6">
        <f>Рар_Модули!D143</f>
        <v>1</v>
      </c>
      <c r="E6" t="str">
        <f>Рар_Модули!C206</f>
        <v>Корзина для мусора</v>
      </c>
      <c r="F6">
        <f>Рар_Модули!D206</f>
        <v>1</v>
      </c>
      <c r="H6" t="str">
        <f>Рар_Модули!C269</f>
        <v>Корзина для мусора</v>
      </c>
      <c r="I6">
        <f>Рар_Модули!D269</f>
        <v>1</v>
      </c>
    </row>
    <row r="7" spans="1:10" x14ac:dyDescent="0.35">
      <c r="B7" t="str">
        <f>Рар_Модули!C144</f>
        <v>Вешалка напольная</v>
      </c>
      <c r="C7">
        <f>Рар_Модули!D144</f>
        <v>2</v>
      </c>
      <c r="E7" t="str">
        <f>Рар_Модули!C207</f>
        <v>Вешалка напольная</v>
      </c>
      <c r="F7">
        <f>Рар_Модули!D207</f>
        <v>2</v>
      </c>
      <c r="H7" t="str">
        <f>Рар_Модули!C270</f>
        <v>Вешалка напольная</v>
      </c>
      <c r="I7">
        <f>Рар_Модули!D270</f>
        <v>1</v>
      </c>
    </row>
    <row r="8" spans="1:10" x14ac:dyDescent="0.35">
      <c r="E8" t="str">
        <f>Рар_Модули!C208</f>
        <v>Т2 - Навесной шкаф для посуды</v>
      </c>
      <c r="F8">
        <f>Рар_Модули!D208</f>
        <v>1</v>
      </c>
      <c r="H8" t="str">
        <f>Рар_Модули!C271</f>
        <v>T1 - Шкаф архивный низкий</v>
      </c>
      <c r="I8">
        <f>Рар_Модули!D271</f>
        <v>1</v>
      </c>
    </row>
    <row r="9" spans="1:10" x14ac:dyDescent="0.35">
      <c r="B9" s="138"/>
      <c r="C9" s="138"/>
      <c r="D9" s="138"/>
      <c r="E9" s="138" t="str">
        <f>Рар_Модули!C209</f>
        <v>T2 - Шкаф архивный низкий</v>
      </c>
      <c r="F9" s="138">
        <f>Рар_Модули!D209</f>
        <v>1</v>
      </c>
      <c r="G9" s="138"/>
      <c r="H9" s="138"/>
      <c r="I9" s="138"/>
    </row>
    <row r="10" spans="1:10" ht="7.5" customHeight="1" x14ac:dyDescent="0.35">
      <c r="B10" s="137"/>
      <c r="C10" s="137"/>
      <c r="D10" s="137"/>
      <c r="E10" s="137"/>
      <c r="F10" s="137"/>
      <c r="G10" s="137"/>
      <c r="H10" s="137"/>
      <c r="I10" s="137"/>
    </row>
    <row r="11" spans="1:10" ht="207.15" customHeight="1" thickBot="1" x14ac:dyDescent="0.4">
      <c r="B11" s="136"/>
      <c r="C11" s="136"/>
      <c r="D11" s="136"/>
      <c r="E11" s="136"/>
      <c r="F11" s="136"/>
      <c r="G11" s="136"/>
      <c r="H11" s="136"/>
      <c r="I11" s="136"/>
    </row>
    <row r="12" spans="1:10" ht="15.5" thickTop="1" thickBot="1" x14ac:dyDescent="0.4">
      <c r="B12" s="136"/>
      <c r="C12" s="136"/>
      <c r="D12" s="136"/>
      <c r="E12" s="136"/>
      <c r="F12" s="136"/>
      <c r="G12" s="136"/>
      <c r="H12" s="136"/>
      <c r="I12" s="136"/>
    </row>
    <row r="13" spans="1:10" ht="16" thickTop="1" x14ac:dyDescent="0.35">
      <c r="B13" s="126" t="str">
        <f>Рар_Модули!C145</f>
        <v>T3 - Переговорная (10 человек)</v>
      </c>
      <c r="C13" s="126"/>
      <c r="D13" s="135"/>
      <c r="E13" s="125" t="str">
        <f>Рар_Модули!C210</f>
        <v>T2 - Переговорная (10 человек)</v>
      </c>
      <c r="F13" s="125"/>
      <c r="G13" s="135"/>
      <c r="H13" s="127" t="str">
        <f>Рар_Модули!C273</f>
        <v>T1 - Переговорная (10 человек)</v>
      </c>
      <c r="I13" s="127"/>
      <c r="J13" s="135"/>
    </row>
    <row r="14" spans="1:10" x14ac:dyDescent="0.35">
      <c r="B14" t="str">
        <f>Рар_Модули!C146</f>
        <v>T3 - Стол 160 х 80 см</v>
      </c>
      <c r="C14">
        <f>Рар_Модули!D146</f>
        <v>2</v>
      </c>
      <c r="E14" t="str">
        <f>Рар_Модули!C211</f>
        <v>T2 - Стол 160 х 80 см</v>
      </c>
      <c r="F14">
        <f>Рар_Модули!D211</f>
        <v>2</v>
      </c>
      <c r="H14" t="str">
        <f>Рар_Модули!C274</f>
        <v>T1 - Конференц-стол</v>
      </c>
      <c r="I14">
        <f>Рар_Модули!D274</f>
        <v>2</v>
      </c>
    </row>
    <row r="15" spans="1:10" x14ac:dyDescent="0.35">
      <c r="B15" t="str">
        <f>Рар_Модули!C147</f>
        <v>Т3-Стул ИЗО (черная рама)</v>
      </c>
      <c r="C15">
        <f>Рар_Модули!D147</f>
        <v>10</v>
      </c>
      <c r="E15" t="str">
        <f>Рар_Модули!C212</f>
        <v>T2 - Стул ИЗО (хром)</v>
      </c>
      <c r="F15">
        <f>Рар_Модули!D212</f>
        <v>10</v>
      </c>
      <c r="H15" t="str">
        <f>Рар_Модули!C275</f>
        <v>T2 - Стул ИЗО (хром)</v>
      </c>
      <c r="I15">
        <f>Рар_Модули!D275</f>
        <v>10</v>
      </c>
    </row>
    <row r="16" spans="1:10" x14ac:dyDescent="0.35">
      <c r="B16" t="str">
        <f>Рар_Модули!C148</f>
        <v>Доска магнитно-маркерная 60x90 см</v>
      </c>
      <c r="C16">
        <f>Рар_Модули!D148</f>
        <v>1</v>
      </c>
      <c r="E16" t="str">
        <f>Рар_Модули!C213</f>
        <v>Доска магнитно-маркерная 60x90 см</v>
      </c>
      <c r="F16">
        <f>Рар_Модули!D213</f>
        <v>1</v>
      </c>
      <c r="H16" t="str">
        <f>Рар_Модули!C276</f>
        <v>Доска магнитно-маркерная 60x90 см</v>
      </c>
      <c r="I16">
        <f>Рар_Модули!D276</f>
        <v>1</v>
      </c>
    </row>
    <row r="17" spans="2:9" x14ac:dyDescent="0.35">
      <c r="B17" t="str">
        <f>Рар_Модули!C149</f>
        <v>Корзина для мусора</v>
      </c>
      <c r="C17">
        <f>Рар_Модули!D149</f>
        <v>1</v>
      </c>
      <c r="E17" t="str">
        <f>Рар_Модули!C214</f>
        <v>Корзина для мусора</v>
      </c>
      <c r="F17">
        <f>Рар_Модули!D214</f>
        <v>1</v>
      </c>
      <c r="H17" t="str">
        <f>Рар_Модули!C277</f>
        <v>Корзина для мусора</v>
      </c>
      <c r="I17">
        <f>Рар_Модули!D277</f>
        <v>1</v>
      </c>
    </row>
    <row r="18" spans="2:9" x14ac:dyDescent="0.35">
      <c r="B18" t="str">
        <f>Рар_Модули!C150</f>
        <v>Вешалка напольная</v>
      </c>
      <c r="C18">
        <f>Рар_Модули!D150</f>
        <v>2</v>
      </c>
      <c r="E18" t="str">
        <f>Рар_Модули!C215</f>
        <v>Вешалка напольная</v>
      </c>
      <c r="F18">
        <f>Рар_Модули!D215</f>
        <v>2</v>
      </c>
      <c r="H18" t="str">
        <f>Рар_Модули!C278</f>
        <v>Вешалка напольная</v>
      </c>
      <c r="I18">
        <f>Рар_Модули!D278</f>
        <v>2</v>
      </c>
    </row>
    <row r="19" spans="2:9" x14ac:dyDescent="0.35">
      <c r="B19" s="138" t="str">
        <f>Рар_Модули!C151</f>
        <v>Набор маркеров для доски</v>
      </c>
      <c r="C19" s="138">
        <f>Рар_Модули!D151</f>
        <v>1</v>
      </c>
      <c r="D19" s="138"/>
      <c r="E19" s="138" t="str">
        <f>Рар_Модули!C216</f>
        <v>Набор маркеров для доски</v>
      </c>
      <c r="F19" s="138">
        <f>Рар_Модули!D216</f>
        <v>1</v>
      </c>
      <c r="G19" s="138"/>
      <c r="H19" s="138" t="str">
        <f>Рар_Модули!C279</f>
        <v>Набор маркеров для доски</v>
      </c>
      <c r="I19" s="138">
        <f>Рар_Модули!D279</f>
        <v>1</v>
      </c>
    </row>
    <row r="20" spans="2:9" ht="7.5" customHeight="1" x14ac:dyDescent="0.35">
      <c r="B20" s="137"/>
      <c r="C20" s="137"/>
      <c r="D20" s="137"/>
      <c r="E20" s="137"/>
      <c r="F20" s="137"/>
      <c r="G20" s="137"/>
      <c r="H20" s="137"/>
      <c r="I20" s="137"/>
    </row>
    <row r="21" spans="2:9" ht="208.5" customHeight="1" thickBot="1" x14ac:dyDescent="0.4">
      <c r="B21" s="136"/>
      <c r="C21" s="136"/>
      <c r="D21" s="136"/>
      <c r="E21" s="136"/>
      <c r="F21" s="136"/>
      <c r="G21" s="136"/>
      <c r="H21" s="136"/>
      <c r="I21" s="136"/>
    </row>
    <row r="22" spans="2:9" ht="15.5" thickTop="1" thickBot="1" x14ac:dyDescent="0.4">
      <c r="B22" s="136"/>
      <c r="C22" s="136"/>
      <c r="D22" s="136"/>
      <c r="E22" s="136"/>
      <c r="F22" s="136"/>
      <c r="G22" s="136"/>
      <c r="H22" s="136"/>
      <c r="I22" s="136"/>
    </row>
    <row r="23" spans="2:9" ht="16" thickTop="1" x14ac:dyDescent="0.35">
      <c r="B23" s="126" t="str">
        <f>Рар_Модули!C152</f>
        <v>T3 - Офис для руководителя</v>
      </c>
      <c r="C23" s="126"/>
      <c r="E23" s="125" t="str">
        <f>Рар_Модули!C217</f>
        <v>T2 - Офис для руководителя</v>
      </c>
      <c r="F23" s="125"/>
      <c r="H23" s="127" t="str">
        <f>Рар_Модули!C280</f>
        <v>T1 - Офис для руководителя</v>
      </c>
      <c r="I23" s="127"/>
    </row>
    <row r="24" spans="2:9" x14ac:dyDescent="0.35">
      <c r="B24" t="str">
        <f>Рар_Модули!C153</f>
        <v>T3 - Стол 160 х 80 см</v>
      </c>
      <c r="C24">
        <f>Рар_Модули!D153</f>
        <v>1</v>
      </c>
      <c r="E24" t="str">
        <f>Рар_Модули!C218</f>
        <v>T2 - Стол 160 х 80 см</v>
      </c>
      <c r="F24">
        <f>Рар_Модули!D218</f>
        <v>1</v>
      </c>
      <c r="H24" t="str">
        <f>Рар_Модули!C281</f>
        <v>T1 - Стол 160 х 80 см</v>
      </c>
      <c r="I24">
        <f>Рар_Модули!D281</f>
        <v>1</v>
      </c>
    </row>
    <row r="25" spans="2:9" x14ac:dyDescent="0.35">
      <c r="B25" t="str">
        <f>Рар_Модули!C154</f>
        <v>T3 - Кресло офисное</v>
      </c>
      <c r="C25">
        <f>Рар_Модули!D154</f>
        <v>1</v>
      </c>
      <c r="E25" t="str">
        <f>Рар_Модули!C219</f>
        <v>T3 - Кресло офисное</v>
      </c>
      <c r="F25">
        <f>Рар_Модули!D219</f>
        <v>1</v>
      </c>
      <c r="H25" t="str">
        <f>Рар_Модули!C282</f>
        <v>T1 - Кресло офисное</v>
      </c>
      <c r="I25">
        <f>Рар_Модули!D282</f>
        <v>1</v>
      </c>
    </row>
    <row r="26" spans="2:9" x14ac:dyDescent="0.35">
      <c r="B26" t="str">
        <f>Рар_Модули!C155</f>
        <v>T3 - Тумба металлическая, центральный замок</v>
      </c>
      <c r="C26">
        <f>Рар_Модули!D155</f>
        <v>1</v>
      </c>
      <c r="E26" t="str">
        <f>Рар_Модули!C220</f>
        <v>T2 - Тумба ДСП</v>
      </c>
      <c r="F26">
        <f>Рар_Модули!D220</f>
        <v>1</v>
      </c>
      <c r="H26" t="str">
        <f>Рар_Модули!C283</f>
        <v>T1 - Тумба ДСП</v>
      </c>
      <c r="I26">
        <f>Рар_Модули!D283</f>
        <v>1</v>
      </c>
    </row>
    <row r="27" spans="2:9" x14ac:dyDescent="0.35">
      <c r="B27" t="str">
        <f>Рар_Модули!C156</f>
        <v>Корзина для мусора</v>
      </c>
      <c r="C27">
        <f>Рар_Модули!D156</f>
        <v>1</v>
      </c>
      <c r="E27" t="str">
        <f>Рар_Модули!C221</f>
        <v>Корзина для мусора</v>
      </c>
      <c r="F27">
        <f>Рар_Модули!D221</f>
        <v>1</v>
      </c>
      <c r="H27" t="str">
        <f>Рар_Модули!C284</f>
        <v>Корзина для мусора</v>
      </c>
      <c r="I27">
        <f>Рар_Модули!D284</f>
        <v>1</v>
      </c>
    </row>
    <row r="28" spans="2:9" x14ac:dyDescent="0.35">
      <c r="B28" t="str">
        <f>Рар_Модули!C157</f>
        <v>T3 - Стол 120 х 60 см</v>
      </c>
      <c r="C28">
        <f>Рар_Модули!D157</f>
        <v>1</v>
      </c>
      <c r="E28" t="str">
        <f>Рар_Модули!C222</f>
        <v>T2 - Стол 120 х 60 см</v>
      </c>
      <c r="F28">
        <f>Рар_Модули!D222</f>
        <v>1</v>
      </c>
      <c r="H28" t="str">
        <f>Рар_Модули!C285</f>
        <v>T1 - Стол 120 х 80 см</v>
      </c>
      <c r="I28">
        <f>Рар_Модули!D285</f>
        <v>1</v>
      </c>
    </row>
    <row r="29" spans="2:9" x14ac:dyDescent="0.35">
      <c r="B29" t="str">
        <f>Рар_Модули!C158</f>
        <v>T3 - Стул ИЗО (черная рама)</v>
      </c>
      <c r="C29">
        <f>Рар_Модули!D158</f>
        <v>2</v>
      </c>
      <c r="E29" t="str">
        <f>Рар_Модули!C223</f>
        <v>T2 - Стул ИЗО (хром)</v>
      </c>
      <c r="F29">
        <f>Рар_Модули!D223</f>
        <v>2</v>
      </c>
      <c r="H29" t="str">
        <f>Рар_Модули!C286</f>
        <v>T2 - Стул ИЗО (хром)</v>
      </c>
      <c r="I29">
        <f>Рар_Модули!D286</f>
        <v>2</v>
      </c>
    </row>
    <row r="30" spans="2:9" x14ac:dyDescent="0.35">
      <c r="B30" t="str">
        <f>Рар_Модули!C159</f>
        <v>T3 - Шкаф офисный для документов и одежды</v>
      </c>
      <c r="C30">
        <f>Рар_Модули!D159</f>
        <v>1</v>
      </c>
      <c r="E30" t="str">
        <f>Рар_Модули!C224</f>
        <v>T2 - Шкаф офисный для документов</v>
      </c>
      <c r="F30">
        <f>Рар_Модули!D224</f>
        <v>1</v>
      </c>
      <c r="H30" t="str">
        <f>Рар_Модули!C287</f>
        <v>T1 - Шкаф офисный для документов</v>
      </c>
      <c r="I30">
        <f>Рар_Модули!D287</f>
        <v>1</v>
      </c>
    </row>
    <row r="31" spans="2:9" x14ac:dyDescent="0.35">
      <c r="B31" t="str">
        <f>Рар_Модули!C160</f>
        <v>Доска магнитно-маркерная 60x90 см</v>
      </c>
      <c r="C31">
        <f>Рар_Модули!D160</f>
        <v>1</v>
      </c>
      <c r="E31" t="str">
        <f>Рар_Модули!C225</f>
        <v>Доска магнитно-маркерная 60x90 см</v>
      </c>
      <c r="F31">
        <f>Рар_Модули!D225</f>
        <v>1</v>
      </c>
      <c r="H31" t="str">
        <f>Рар_Модули!C288</f>
        <v>Доска магнитно-маркерная 60x90 см</v>
      </c>
      <c r="I31">
        <f>Рар_Модули!D288</f>
        <v>1</v>
      </c>
    </row>
    <row r="32" spans="2:9" x14ac:dyDescent="0.35">
      <c r="B32" s="138" t="str">
        <f>Рар_Модули!C161</f>
        <v>Вешалка напольная</v>
      </c>
      <c r="C32" s="138">
        <f>Рар_Модули!D161</f>
        <v>1</v>
      </c>
      <c r="D32" s="138"/>
      <c r="E32" s="138" t="str">
        <f>Рар_Модули!C226</f>
        <v>Вешалка напольная</v>
      </c>
      <c r="F32" s="138">
        <f>Рар_Модули!D226</f>
        <v>1</v>
      </c>
      <c r="G32" s="138"/>
      <c r="H32" s="138" t="str">
        <f>Рар_Модули!C289</f>
        <v>Вешалка напольная</v>
      </c>
      <c r="I32" s="138">
        <f>Рар_Модули!D289</f>
        <v>1</v>
      </c>
    </row>
    <row r="33" spans="2:9" ht="7.5" customHeight="1" x14ac:dyDescent="0.35">
      <c r="B33" s="137"/>
      <c r="C33" s="137"/>
      <c r="D33" s="137"/>
      <c r="E33" s="137"/>
      <c r="F33" s="137"/>
      <c r="G33" s="137"/>
      <c r="H33" s="137"/>
      <c r="I33" s="137"/>
    </row>
    <row r="34" spans="2:9" ht="207.15" customHeight="1" thickBot="1" x14ac:dyDescent="0.4">
      <c r="B34" s="136"/>
      <c r="C34" s="136"/>
      <c r="D34" s="136"/>
      <c r="E34" s="136"/>
      <c r="F34" s="136"/>
      <c r="G34" s="136"/>
      <c r="H34" s="136"/>
      <c r="I34" s="136"/>
    </row>
    <row r="35" spans="2:9" ht="15.5" thickTop="1" thickBot="1" x14ac:dyDescent="0.4">
      <c r="B35" s="136"/>
      <c r="C35" s="136"/>
      <c r="D35" s="136"/>
      <c r="E35" s="136"/>
      <c r="F35" s="136"/>
      <c r="G35" s="136"/>
      <c r="H35" s="136"/>
      <c r="I35" s="136"/>
    </row>
    <row r="36" spans="2:9" ht="16" thickTop="1" x14ac:dyDescent="0.35">
      <c r="B36" s="126" t="str">
        <f>Рар_Модули!C162</f>
        <v>T3 - Офис для сотрудника</v>
      </c>
      <c r="C36" s="126"/>
      <c r="E36" s="125" t="str">
        <f>Рар_Модули!C227</f>
        <v>T2 - Офис для сотрудника</v>
      </c>
      <c r="F36" s="125"/>
      <c r="H36" s="127" t="str">
        <f>Рар_Модули!C290</f>
        <v>T1 - Офис для сотрудника</v>
      </c>
      <c r="I36" s="127"/>
    </row>
    <row r="37" spans="2:9" x14ac:dyDescent="0.35">
      <c r="B37" t="str">
        <f>Рар_Модули!C163</f>
        <v>T3 - Стол 160 х 80 см</v>
      </c>
      <c r="C37">
        <f>Рар_Модули!D163</f>
        <v>1</v>
      </c>
      <c r="E37" t="str">
        <f>Рар_Модули!C228</f>
        <v>T2 - Стол 160 х 80 см</v>
      </c>
      <c r="F37">
        <f>Рар_Модули!D228</f>
        <v>1</v>
      </c>
      <c r="H37" t="str">
        <f>Рар_Модули!C291</f>
        <v>T1 - Стол 160 х 80 см</v>
      </c>
      <c r="I37">
        <f>Рар_Модули!D291</f>
        <v>1</v>
      </c>
    </row>
    <row r="38" spans="2:9" x14ac:dyDescent="0.35">
      <c r="B38" t="str">
        <f>Рар_Модули!C164</f>
        <v>T3 - Кресло офисное</v>
      </c>
      <c r="C38">
        <f>Рар_Модули!D164</f>
        <v>1</v>
      </c>
      <c r="E38" t="str">
        <f>Рар_Модули!C229</f>
        <v>T3 - Кресло офисное</v>
      </c>
      <c r="F38">
        <f>Рар_Модули!D229</f>
        <v>1</v>
      </c>
      <c r="H38" t="str">
        <f>Рар_Модули!C292</f>
        <v>T1 - Кресло офисное</v>
      </c>
      <c r="I38">
        <f>Рар_Модули!D292</f>
        <v>1</v>
      </c>
    </row>
    <row r="39" spans="2:9" x14ac:dyDescent="0.35">
      <c r="B39" t="str">
        <f>Рар_Модули!C165</f>
        <v>T3 - Тумба металлическая, центральный замок</v>
      </c>
      <c r="C39">
        <f>Рар_Модули!D165</f>
        <v>1</v>
      </c>
      <c r="E39" t="str">
        <f>Рар_Модули!C230</f>
        <v>T2 - Тумба ДСП</v>
      </c>
      <c r="F39">
        <f>Рар_Модули!D230</f>
        <v>1</v>
      </c>
      <c r="H39" t="str">
        <f>Рар_Модули!C293</f>
        <v>T1 - Тумба ДСП</v>
      </c>
      <c r="I39">
        <f>Рар_Модули!D293</f>
        <v>1</v>
      </c>
    </row>
    <row r="40" spans="2:9" x14ac:dyDescent="0.35">
      <c r="B40" s="138" t="str">
        <f>Рар_Модули!C166</f>
        <v>Корзина для мусора</v>
      </c>
      <c r="C40" s="138">
        <f>Рар_Модули!D166</f>
        <v>1</v>
      </c>
      <c r="D40" s="138"/>
      <c r="E40" s="138" t="str">
        <f>Рар_Модули!C231</f>
        <v>Корзина для мусора</v>
      </c>
      <c r="F40" s="138">
        <f>Рар_Модули!D231</f>
        <v>1</v>
      </c>
      <c r="G40" s="138"/>
      <c r="H40" s="138" t="str">
        <f>Рар_Модули!C294</f>
        <v>Корзина для мусора</v>
      </c>
      <c r="I40" s="138">
        <f>Рар_Модули!D294</f>
        <v>1</v>
      </c>
    </row>
    <row r="41" spans="2:9" ht="7.5" customHeight="1" x14ac:dyDescent="0.35">
      <c r="B41" s="137"/>
      <c r="C41" s="137"/>
      <c r="D41" s="137"/>
      <c r="E41" s="137"/>
      <c r="F41" s="137"/>
      <c r="G41" s="137"/>
      <c r="H41" s="137"/>
      <c r="I41" s="137"/>
    </row>
    <row r="42" spans="2:9" ht="207.75" customHeight="1" thickBot="1" x14ac:dyDescent="0.4">
      <c r="B42" s="139"/>
      <c r="C42" s="139"/>
      <c r="D42" s="139"/>
      <c r="E42" s="139"/>
      <c r="F42" s="139"/>
      <c r="G42" s="139"/>
      <c r="H42" s="139"/>
      <c r="I42" s="139"/>
    </row>
    <row r="43" spans="2:9" ht="6.75" customHeight="1" thickTop="1" x14ac:dyDescent="0.35"/>
    <row r="45" spans="2:9" ht="15.5" x14ac:dyDescent="0.35">
      <c r="B45" s="126" t="str">
        <f>Рар_Модули!C307</f>
        <v>T1 - Раздевалка</v>
      </c>
      <c r="C45" s="126"/>
      <c r="E45" s="125" t="str">
        <f>Рар_Модули!C243</f>
        <v>T2 - Раздевалка</v>
      </c>
      <c r="F45" s="125"/>
      <c r="H45" s="127" t="str">
        <f>Рар_Модули!C307</f>
        <v>T1 - Раздевалка</v>
      </c>
      <c r="I45" s="127"/>
    </row>
    <row r="46" spans="2:9" ht="29" x14ac:dyDescent="0.35">
      <c r="B46" s="140" t="str">
        <f>Рар_Модули!C178</f>
        <v>T3 - Шкаф д/одежды двухстворчатый 1750х800х500 мм</v>
      </c>
      <c r="C46">
        <f>Рар_Модули!D178</f>
        <v>5</v>
      </c>
      <c r="E46" s="140" t="str">
        <f>Рар_Модули!C244</f>
        <v>T3 - Шкаф д/одежды двухстворчатый 1750х800х500 мм</v>
      </c>
      <c r="F46">
        <f>Рар_Модули!D244</f>
        <v>5</v>
      </c>
      <c r="H46" s="140" t="str">
        <f>Рар_Модули!C308</f>
        <v>T3 - Шкаф д/одежды двухстворчатый 1750х800х500 мм</v>
      </c>
      <c r="I46">
        <f>Рар_Модули!D308</f>
        <v>3</v>
      </c>
    </row>
    <row r="47" spans="2:9" x14ac:dyDescent="0.35">
      <c r="B47" t="str">
        <f>Рар_Модули!C179</f>
        <v>T3 - Стол 120 х 60 см</v>
      </c>
      <c r="C47">
        <f>Рар_Модули!D179</f>
        <v>2</v>
      </c>
      <c r="E47" t="str">
        <f>Рар_Модули!C245</f>
        <v>T3 - Стул ИЗО (черная рама)</v>
      </c>
      <c r="F47">
        <f>Рар_Модули!D245</f>
        <v>4</v>
      </c>
      <c r="H47" t="str">
        <f>Рар_Модули!C309</f>
        <v>Шкаф сушильный ШС Ветерок 1940</v>
      </c>
      <c r="I47">
        <f>Рар_Модули!D309</f>
        <v>2</v>
      </c>
    </row>
    <row r="48" spans="2:9" x14ac:dyDescent="0.35">
      <c r="B48" t="str">
        <f>Рар_Модули!C180</f>
        <v>Т3- Стул ИЗО (черная рама)</v>
      </c>
      <c r="C48">
        <f>Рар_Модули!D180</f>
        <v>4</v>
      </c>
      <c r="E48" t="str">
        <f>Рар_Модули!C246</f>
        <v>T3 - Стол 80 х 80 см</v>
      </c>
      <c r="F48">
        <f>Рар_Модули!D246</f>
        <v>2</v>
      </c>
      <c r="H48" t="str">
        <f>Рар_Модули!C310</f>
        <v>T2 - Стул ИЗО (хром)</v>
      </c>
      <c r="I48">
        <f>Рар_Модули!D310</f>
        <v>4</v>
      </c>
    </row>
    <row r="49" spans="2:10" x14ac:dyDescent="0.35">
      <c r="B49" t="str">
        <f>Рар_Модули!C181</f>
        <v>Корзина для мусора</v>
      </c>
      <c r="C49">
        <f>Рар_Модули!D181</f>
        <v>1</v>
      </c>
      <c r="E49" t="str">
        <f>Рар_Модули!C247</f>
        <v>Корзина для мусора</v>
      </c>
      <c r="F49">
        <f>Рар_Модули!D247</f>
        <v>1</v>
      </c>
      <c r="H49" t="str">
        <f>Рар_Модули!C311</f>
        <v>T2 - Стол 80 х 80 см</v>
      </c>
      <c r="I49">
        <f>Рар_Модули!D311</f>
        <v>2</v>
      </c>
    </row>
    <row r="50" spans="2:10" ht="14.25" customHeight="1" x14ac:dyDescent="0.35">
      <c r="B50" s="138"/>
      <c r="C50" s="138"/>
      <c r="D50" s="138"/>
      <c r="E50" s="138"/>
      <c r="F50" s="138"/>
      <c r="G50" s="138"/>
      <c r="H50" s="138" t="str">
        <f>Рар_Модули!C312</f>
        <v>Корзина для мусора</v>
      </c>
      <c r="I50" s="138">
        <f>Рар_Модули!D312</f>
        <v>1</v>
      </c>
    </row>
    <row r="51" spans="2:10" ht="7.5" customHeight="1" x14ac:dyDescent="0.35">
      <c r="B51" s="142"/>
      <c r="C51" s="142"/>
      <c r="D51" s="142"/>
      <c r="E51" s="142"/>
      <c r="F51" s="142"/>
      <c r="G51" s="142"/>
      <c r="H51" s="142"/>
      <c r="I51" s="142"/>
    </row>
    <row r="52" spans="2:10" ht="207.75" customHeight="1" thickBot="1" x14ac:dyDescent="0.4">
      <c r="B52" s="136"/>
      <c r="C52" s="136"/>
      <c r="D52" s="136"/>
      <c r="E52" s="136"/>
      <c r="F52" s="136"/>
      <c r="G52" s="136"/>
      <c r="H52" s="136"/>
      <c r="I52" s="136"/>
      <c r="J52" s="141"/>
    </row>
    <row r="53" spans="2:10" ht="15" thickTop="1" x14ac:dyDescent="0.35"/>
    <row r="54" spans="2:10" ht="31" x14ac:dyDescent="0.35">
      <c r="B54" s="143" t="str">
        <f>Рар_Модули!C169</f>
        <v>T3 - набор принадлежностей для санитарного модуля</v>
      </c>
      <c r="C54" s="126"/>
      <c r="E54" s="144" t="str">
        <f>Рар_Модули!C234</f>
        <v>T2 - набор принадлежностей для санитарного модуля</v>
      </c>
      <c r="F54" s="125"/>
      <c r="H54" s="145" t="str">
        <f>Рар_Модули!C297</f>
        <v>T1 - набор принадлежностей для санитарного модуля</v>
      </c>
      <c r="I54" s="127"/>
    </row>
    <row r="55" spans="2:10" x14ac:dyDescent="0.35">
      <c r="B55" s="140" t="str">
        <f>Рар_Модули!C170</f>
        <v>жидкое мыло</v>
      </c>
      <c r="E55" s="140" t="str">
        <f>Рар_Модули!C235</f>
        <v>жидкое мыло</v>
      </c>
      <c r="H55" s="140" t="str">
        <f>Рар_Модули!C298</f>
        <v>жидкое мыло</v>
      </c>
    </row>
    <row r="56" spans="2:10" x14ac:dyDescent="0.35">
      <c r="B56" s="140" t="str">
        <f>Рар_Модули!C171</f>
        <v>туалетная бумага</v>
      </c>
      <c r="E56" s="140" t="str">
        <f>Рар_Модули!C236</f>
        <v>туалетная бумага</v>
      </c>
      <c r="H56" s="140" t="str">
        <f>Рар_Модули!C299</f>
        <v>туалетная бумага</v>
      </c>
    </row>
    <row r="57" spans="2:10" x14ac:dyDescent="0.35">
      <c r="B57" s="140" t="str">
        <f>Рар_Модули!C172</f>
        <v>бумажные полотенца</v>
      </c>
      <c r="E57" s="140" t="str">
        <f>Рар_Модули!C237</f>
        <v>бумажные полотенца</v>
      </c>
      <c r="H57" s="140" t="str">
        <f>Рар_Модули!C300</f>
        <v>Сушилка для рук</v>
      </c>
    </row>
    <row r="58" spans="2:10" x14ac:dyDescent="0.35">
      <c r="B58" s="140" t="str">
        <f>Рар_Модули!C173</f>
        <v>Корзина для мусора</v>
      </c>
      <c r="E58" s="140" t="str">
        <f>Рар_Модули!C238</f>
        <v>Корзина для мусора</v>
      </c>
      <c r="H58" s="140" t="str">
        <f>Рар_Модули!C301</f>
        <v>Корзина для мусора</v>
      </c>
    </row>
    <row r="59" spans="2:10" x14ac:dyDescent="0.35">
      <c r="B59" s="140" t="str">
        <f>Рар_Модули!C174</f>
        <v xml:space="preserve">пакеты для мусора </v>
      </c>
      <c r="E59" s="140" t="str">
        <f>Рар_Модули!C239</f>
        <v xml:space="preserve">пакеты для мусора </v>
      </c>
      <c r="H59" s="140" t="str">
        <f>Рар_Модули!C302</f>
        <v xml:space="preserve">пакеты для мусора </v>
      </c>
    </row>
    <row r="60" spans="2:10" ht="14.25" customHeight="1" x14ac:dyDescent="0.35">
      <c r="B60" s="138"/>
      <c r="C60" s="138"/>
      <c r="D60" s="138"/>
      <c r="E60" s="138"/>
      <c r="F60" s="138"/>
      <c r="G60" s="138"/>
      <c r="H60" s="138"/>
      <c r="I60" s="138"/>
    </row>
    <row r="61" spans="2:10" ht="7.5" customHeight="1" x14ac:dyDescent="0.35">
      <c r="B61" s="142"/>
      <c r="C61" s="142"/>
      <c r="D61" s="142"/>
      <c r="E61" s="142"/>
      <c r="F61" s="142"/>
      <c r="G61" s="142"/>
      <c r="H61" s="142"/>
      <c r="I61" s="142"/>
    </row>
    <row r="62" spans="2:10" ht="207.75" customHeight="1" thickBot="1" x14ac:dyDescent="0.4">
      <c r="B62" s="136"/>
      <c r="C62" s="136"/>
      <c r="D62" s="136"/>
      <c r="E62" s="139"/>
      <c r="F62" s="136"/>
      <c r="G62" s="136"/>
      <c r="H62" s="136"/>
      <c r="I62" s="136"/>
      <c r="J62" s="141"/>
    </row>
    <row r="63" spans="2:10" ht="15" thickTop="1" x14ac:dyDescent="0.35"/>
    <row r="64" spans="2:10" ht="15.5" x14ac:dyDescent="0.35">
      <c r="B64" s="143" t="str">
        <f>Рар_Модули!C167</f>
        <v>Т3 - кухня база CZ</v>
      </c>
      <c r="C64" s="126"/>
      <c r="E64" s="144" t="str">
        <f>Рар_Модули!C232</f>
        <v>T2 - Мини-кухня</v>
      </c>
      <c r="F64" s="125"/>
      <c r="H64" s="145" t="str">
        <f>Рар_Модули!C295</f>
        <v>Т1 - Кухня</v>
      </c>
      <c r="I64" s="127"/>
    </row>
    <row r="65" spans="2:10" ht="29" x14ac:dyDescent="0.35">
      <c r="B65" s="140" t="str">
        <f>Рар_Модули!C168</f>
        <v>мини кухня с эл. плитой, раковиной, холодильником</v>
      </c>
      <c r="E65" s="140" t="str">
        <f>Рар_Модули!C233</f>
        <v>мини кухня с эл. плитой, раковиной, холодильником, СВЧ</v>
      </c>
      <c r="H65" s="140" t="str">
        <f>Рар_Модули!C296</f>
        <v>мини кухня с эл. плитой, раковиной, холодильником, СВЧ</v>
      </c>
    </row>
    <row r="66" spans="2:10" ht="14.25" customHeight="1" x14ac:dyDescent="0.35">
      <c r="B66" s="138"/>
      <c r="C66" s="138"/>
      <c r="D66" s="138"/>
      <c r="E66" s="138"/>
      <c r="F66" s="138"/>
      <c r="G66" s="138"/>
      <c r="H66" s="138"/>
      <c r="I66" s="138"/>
    </row>
    <row r="67" spans="2:10" ht="7.5" customHeight="1" x14ac:dyDescent="0.35">
      <c r="B67" s="142"/>
      <c r="C67" s="142"/>
      <c r="D67" s="142"/>
      <c r="E67" s="142"/>
      <c r="F67" s="142"/>
      <c r="G67" s="142"/>
      <c r="H67" s="142"/>
      <c r="I67" s="142"/>
    </row>
    <row r="68" spans="2:10" ht="207.75" customHeight="1" thickBot="1" x14ac:dyDescent="0.4">
      <c r="B68" s="136"/>
      <c r="C68" s="136"/>
      <c r="D68" s="136"/>
      <c r="E68" s="136"/>
      <c r="F68" s="136"/>
      <c r="G68" s="136"/>
      <c r="H68" s="136"/>
      <c r="I68" s="136"/>
      <c r="J68" s="141"/>
    </row>
    <row r="69" spans="2:10" ht="15" thickTop="1" x14ac:dyDescent="0.35"/>
    <row r="70" spans="2:10" ht="15.5" x14ac:dyDescent="0.35">
      <c r="B70" s="143" t="str">
        <f>Рар_Модули!C175</f>
        <v>T3 - набор для складского модуля</v>
      </c>
      <c r="C70" s="126"/>
      <c r="E70" s="144" t="str">
        <f>Рар_Модули!C240</f>
        <v>T2 - набор для складского модуля</v>
      </c>
      <c r="F70" s="125"/>
      <c r="H70" s="145" t="str">
        <f>Рар_Модули!C303</f>
        <v>T1 - набор для складского модуля</v>
      </c>
      <c r="I70" s="127"/>
    </row>
    <row r="71" spans="2:10" x14ac:dyDescent="0.35">
      <c r="B71" s="140" t="str">
        <f>Рар_Модули!C176</f>
        <v>Стеллаж сборный 2000х1000х400 мм</v>
      </c>
      <c r="C71">
        <f>Рар_Модули!D176</f>
        <v>5</v>
      </c>
      <c r="E71" s="140" t="str">
        <f>Рар_Модули!C241</f>
        <v>Стеллаж сборный 2000х1000х400 мм</v>
      </c>
      <c r="F71">
        <f>Рар_Модули!D241</f>
        <v>5</v>
      </c>
      <c r="H71" s="140" t="str">
        <f>Рар_Модули!C304</f>
        <v>Стеллаж сборный 2000х1000х400 мм</v>
      </c>
      <c r="I71">
        <f>Рар_Модули!D304</f>
        <v>5</v>
      </c>
    </row>
    <row r="72" spans="2:10" x14ac:dyDescent="0.35">
      <c r="B72" s="140"/>
      <c r="E72" s="140" t="str">
        <f>Рар_Модули!C242</f>
        <v>эл оборудование (свет и розетка)</v>
      </c>
      <c r="H72" s="140" t="str">
        <f>Рар_Модули!C305</f>
        <v>эл оборудование (свет и розетка)</v>
      </c>
    </row>
    <row r="73" spans="2:10" x14ac:dyDescent="0.35">
      <c r="B73" s="140"/>
      <c r="E73" s="140"/>
      <c r="H73" s="140" t="str">
        <f>Рар_Модули!C306</f>
        <v>замок</v>
      </c>
    </row>
    <row r="74" spans="2:10" ht="14.25" customHeight="1" x14ac:dyDescent="0.35">
      <c r="B74" s="138"/>
      <c r="C74" s="138"/>
      <c r="D74" s="138"/>
      <c r="E74" s="138"/>
      <c r="F74" s="138"/>
      <c r="G74" s="138"/>
      <c r="H74" s="138"/>
      <c r="I74" s="138"/>
    </row>
    <row r="75" spans="2:10" ht="7.5" customHeight="1" x14ac:dyDescent="0.35">
      <c r="B75" s="142"/>
      <c r="C75" s="142"/>
      <c r="D75" s="142"/>
      <c r="E75" s="142"/>
      <c r="F75" s="142"/>
      <c r="G75" s="142"/>
      <c r="H75" s="142"/>
      <c r="I75" s="142"/>
    </row>
    <row r="76" spans="2:10" ht="207.75" customHeight="1" thickBot="1" x14ac:dyDescent="0.4">
      <c r="B76" s="136"/>
      <c r="C76" s="136"/>
      <c r="D76" s="136"/>
      <c r="E76" s="136"/>
      <c r="F76" s="136"/>
      <c r="G76" s="136"/>
      <c r="H76" s="136"/>
      <c r="I76" s="136"/>
      <c r="J76" s="141"/>
    </row>
    <row r="77" spans="2:10" ht="15" thickTop="1" x14ac:dyDescent="0.3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80"/>
  <sheetViews>
    <sheetView view="pageBreakPreview" topLeftCell="A46" zoomScale="85" zoomScaleNormal="90" zoomScaleSheetLayoutView="85" workbookViewId="0">
      <selection activeCell="E9" sqref="E9"/>
    </sheetView>
  </sheetViews>
  <sheetFormatPr defaultColWidth="8.90625" defaultRowHeight="14.5" x14ac:dyDescent="0.35"/>
  <cols>
    <col min="1" max="1" width="7.90625" style="53" customWidth="1"/>
    <col min="2" max="2" width="31.7265625" style="53" bestFit="1" customWidth="1"/>
    <col min="3" max="3" width="25.7265625" style="55" customWidth="1"/>
    <col min="4" max="4" width="22.26953125" style="53" customWidth="1"/>
    <col min="5" max="5" width="15.26953125" style="56" customWidth="1"/>
    <col min="6" max="6" width="15.26953125" style="57" customWidth="1"/>
    <col min="7" max="7" width="3.6328125" style="58" customWidth="1"/>
    <col min="8" max="8" width="4.26953125" style="53" customWidth="1"/>
    <col min="9" max="9" width="31.7265625" style="53" bestFit="1" customWidth="1"/>
    <col min="10" max="10" width="25.90625" style="55" customWidth="1"/>
    <col min="11" max="11" width="22.26953125" style="53" customWidth="1"/>
    <col min="12" max="12" width="15.26953125" style="56" customWidth="1"/>
    <col min="13" max="13" width="15.26953125" style="57" customWidth="1"/>
    <col min="14" max="14" width="3.7265625" style="58" customWidth="1"/>
    <col min="15" max="15" width="4.26953125" style="53" customWidth="1"/>
    <col min="16" max="16" width="31.7265625" style="53" bestFit="1" customWidth="1"/>
    <col min="17" max="17" width="25.90625" style="55" customWidth="1"/>
    <col min="18" max="18" width="22.26953125" style="53" customWidth="1"/>
    <col min="19" max="19" width="15.26953125" style="56" customWidth="1"/>
    <col min="20" max="20" width="15.26953125" style="57" customWidth="1"/>
    <col min="21" max="16384" width="8.90625" style="58"/>
  </cols>
  <sheetData>
    <row r="2" spans="1:20" x14ac:dyDescent="0.35">
      <c r="B2" s="54"/>
      <c r="I2" s="54"/>
      <c r="P2" s="54"/>
    </row>
    <row r="3" spans="1:20" x14ac:dyDescent="0.35">
      <c r="B3" s="54"/>
      <c r="I3" s="54"/>
      <c r="P3" s="54"/>
    </row>
    <row r="6" spans="1:20" x14ac:dyDescent="0.35">
      <c r="A6" s="59" t="s">
        <v>265</v>
      </c>
      <c r="B6" s="59"/>
      <c r="C6" s="60"/>
      <c r="D6" s="59"/>
      <c r="E6" s="61"/>
      <c r="F6" s="62"/>
      <c r="H6" s="63" t="s">
        <v>269</v>
      </c>
      <c r="I6" s="63"/>
      <c r="J6" s="64"/>
      <c r="K6" s="63"/>
      <c r="L6" s="65"/>
      <c r="M6" s="66"/>
      <c r="O6" s="67" t="s">
        <v>268</v>
      </c>
      <c r="P6" s="67"/>
      <c r="Q6" s="68"/>
      <c r="R6" s="67"/>
      <c r="S6" s="69"/>
      <c r="T6" s="70"/>
    </row>
    <row r="7" spans="1:20" ht="45.15" customHeight="1" x14ac:dyDescent="0.35">
      <c r="A7" s="71" t="s">
        <v>212</v>
      </c>
      <c r="B7" s="72" t="s">
        <v>213</v>
      </c>
      <c r="C7" s="73" t="s">
        <v>214</v>
      </c>
      <c r="D7" s="74" t="s">
        <v>215</v>
      </c>
      <c r="E7" s="75" t="s">
        <v>216</v>
      </c>
      <c r="F7" s="76" t="s">
        <v>217</v>
      </c>
      <c r="H7" s="71" t="s">
        <v>212</v>
      </c>
      <c r="I7" s="72" t="s">
        <v>213</v>
      </c>
      <c r="J7" s="73" t="s">
        <v>214</v>
      </c>
      <c r="K7" s="74" t="s">
        <v>215</v>
      </c>
      <c r="L7" s="75" t="s">
        <v>216</v>
      </c>
      <c r="M7" s="76" t="s">
        <v>217</v>
      </c>
      <c r="O7" s="71" t="s">
        <v>212</v>
      </c>
      <c r="P7" s="72" t="s">
        <v>213</v>
      </c>
      <c r="Q7" s="73" t="s">
        <v>214</v>
      </c>
      <c r="R7" s="74" t="s">
        <v>215</v>
      </c>
      <c r="S7" s="75" t="s">
        <v>216</v>
      </c>
      <c r="T7" s="76" t="s">
        <v>217</v>
      </c>
    </row>
    <row r="8" spans="1:20" ht="27.15" customHeight="1" x14ac:dyDescent="0.35">
      <c r="A8" s="77"/>
      <c r="B8" s="78"/>
      <c r="C8" s="79"/>
      <c r="D8" s="78"/>
      <c r="E8" s="80"/>
      <c r="F8" s="81"/>
      <c r="H8" s="77"/>
      <c r="I8" s="78"/>
      <c r="J8" s="79"/>
      <c r="K8" s="78"/>
      <c r="L8" s="80"/>
      <c r="M8" s="81"/>
      <c r="O8" s="77"/>
      <c r="P8" s="78"/>
      <c r="Q8" s="79"/>
      <c r="R8" s="78"/>
      <c r="S8" s="80"/>
      <c r="T8" s="81"/>
    </row>
    <row r="9" spans="1:20" s="83" customFormat="1" ht="30" x14ac:dyDescent="0.35">
      <c r="A9" s="84">
        <v>3</v>
      </c>
      <c r="B9" s="2" t="str">
        <f>Рар_Модули!C101</f>
        <v>T3 - Стул ИЗО (черная рама)</v>
      </c>
      <c r="C9" s="85" t="s">
        <v>218</v>
      </c>
      <c r="D9" s="2"/>
      <c r="E9" s="82">
        <f>Рар_Модули!M101</f>
        <v>2499.6</v>
      </c>
      <c r="F9" s="49" t="s">
        <v>219</v>
      </c>
      <c r="H9" s="84"/>
      <c r="I9" s="2" t="str">
        <f>Рар_Модули!C196</f>
        <v>T2 - Стул ИЗО (хром)</v>
      </c>
      <c r="J9" s="85" t="s">
        <v>273</v>
      </c>
      <c r="K9" s="2"/>
      <c r="L9" s="82">
        <f>Рар_Модули!M196</f>
        <v>1625</v>
      </c>
      <c r="M9" s="49" t="s">
        <v>272</v>
      </c>
      <c r="O9" s="84"/>
      <c r="P9" s="109" t="str">
        <f>Рар_Модули!C250</f>
        <v>T1 - Кресло офисное</v>
      </c>
      <c r="Q9" s="85" t="s">
        <v>282</v>
      </c>
      <c r="R9" s="2"/>
      <c r="S9" s="82"/>
      <c r="T9" s="49"/>
    </row>
    <row r="10" spans="1:20" ht="101" customHeight="1" x14ac:dyDescent="0.35">
      <c r="A10" s="86"/>
      <c r="B10" s="87"/>
      <c r="C10" s="88"/>
      <c r="D10" s="89"/>
      <c r="E10" s="90"/>
      <c r="F10" s="91"/>
      <c r="H10" s="89"/>
      <c r="I10" s="89"/>
      <c r="J10" s="92"/>
      <c r="K10" s="89"/>
      <c r="L10" s="90"/>
      <c r="M10" s="91"/>
      <c r="O10" s="89"/>
      <c r="P10" s="111"/>
      <c r="Q10" s="92"/>
      <c r="R10"/>
      <c r="S10" s="90"/>
      <c r="T10" s="91"/>
    </row>
    <row r="11" spans="1:20" s="83" customFormat="1" ht="40" x14ac:dyDescent="0.35">
      <c r="A11" s="84">
        <v>1</v>
      </c>
      <c r="B11" s="2" t="str">
        <f>Рар_Модули!C96</f>
        <v>T3 - Кресло офисное</v>
      </c>
      <c r="C11" s="85" t="s">
        <v>220</v>
      </c>
      <c r="D11" s="2"/>
      <c r="E11" s="82">
        <f>Рар_Модули!M96</f>
        <v>10560</v>
      </c>
      <c r="F11" s="49" t="s">
        <v>219</v>
      </c>
      <c r="H11" s="84">
        <v>1</v>
      </c>
      <c r="I11" s="2" t="str">
        <f>Рар_Модули!C97</f>
        <v>T3 - Кресло офисное</v>
      </c>
      <c r="J11" s="85" t="s">
        <v>274</v>
      </c>
      <c r="K11" s="2"/>
      <c r="L11" s="82"/>
      <c r="M11" s="49" t="s">
        <v>272</v>
      </c>
      <c r="O11" s="84"/>
      <c r="P11" s="112" t="str">
        <f>Рар_Модули!C251</f>
        <v>T1 - Кухня (Премиум)</v>
      </c>
      <c r="Q11" s="85" t="s">
        <v>303</v>
      </c>
      <c r="R11" s="2"/>
      <c r="S11" s="82"/>
      <c r="T11" s="49"/>
    </row>
    <row r="12" spans="1:20" ht="114.65" customHeight="1" x14ac:dyDescent="0.35">
      <c r="A12" s="89"/>
      <c r="B12" s="93"/>
      <c r="C12" s="92"/>
      <c r="D12" s="89"/>
      <c r="E12" s="90"/>
      <c r="F12" s="91"/>
      <c r="H12" s="89"/>
      <c r="I12" s="93"/>
      <c r="J12" s="114" t="s">
        <v>288</v>
      </c>
      <c r="K12" s="89"/>
      <c r="L12" s="90"/>
      <c r="M12" s="91"/>
      <c r="O12" s="89"/>
      <c r="P12" s="94"/>
      <c r="Q12" s="92"/>
      <c r="R12" s="89"/>
      <c r="S12" s="90"/>
      <c r="T12" s="91"/>
    </row>
    <row r="13" spans="1:20" s="83" customFormat="1" ht="50" x14ac:dyDescent="0.35">
      <c r="A13" s="84">
        <v>10</v>
      </c>
      <c r="B13" s="2" t="str">
        <f>Рар_Модули!C108</f>
        <v>T3 - Шкаф офисный для документов 1860*850*500</v>
      </c>
      <c r="C13" s="85" t="s">
        <v>221</v>
      </c>
      <c r="D13" s="2"/>
      <c r="E13" s="82">
        <f>Рар_Модули!M108</f>
        <v>18999.599999999999</v>
      </c>
      <c r="F13" s="49" t="s">
        <v>222</v>
      </c>
      <c r="H13" s="84"/>
      <c r="I13" s="2" t="str">
        <f>Рар_Модули!C192</f>
        <v>T2 - Мини-кухня</v>
      </c>
      <c r="J13" s="85" t="s">
        <v>235</v>
      </c>
      <c r="K13" s="2"/>
      <c r="L13" s="82">
        <v>63600</v>
      </c>
      <c r="M13" s="49" t="s">
        <v>236</v>
      </c>
      <c r="O13" s="84"/>
      <c r="P13" s="112" t="str">
        <f>Рар_Модули!C253</f>
        <v>T1 - Стол 160 х 80 см</v>
      </c>
      <c r="Q13" s="85" t="s">
        <v>283</v>
      </c>
      <c r="R13" s="2"/>
      <c r="S13" s="82"/>
      <c r="T13" s="49"/>
    </row>
    <row r="14" spans="1:20" ht="129.65" customHeight="1" x14ac:dyDescent="0.35">
      <c r="A14" s="89"/>
      <c r="B14" s="93"/>
      <c r="C14" s="92"/>
      <c r="D14" s="89"/>
      <c r="E14" s="90"/>
      <c r="F14" s="91"/>
      <c r="H14" s="89"/>
      <c r="I14" s="93"/>
      <c r="J14" s="92"/>
      <c r="K14" s="89"/>
      <c r="L14" s="90"/>
      <c r="M14" s="91"/>
      <c r="O14" s="89"/>
      <c r="P14" s="94"/>
      <c r="Q14" s="92"/>
      <c r="R14" s="89"/>
      <c r="S14" s="90"/>
      <c r="T14" s="91"/>
    </row>
    <row r="15" spans="1:20" s="83" customFormat="1" ht="20" x14ac:dyDescent="0.35">
      <c r="A15" s="84">
        <v>6</v>
      </c>
      <c r="B15" s="2" t="s">
        <v>157</v>
      </c>
      <c r="C15" s="85" t="s">
        <v>223</v>
      </c>
      <c r="D15" s="2"/>
      <c r="E15" s="82">
        <f>Рар_Модули!M109</f>
        <v>16800</v>
      </c>
      <c r="F15" s="49" t="s">
        <v>222</v>
      </c>
      <c r="H15" s="84"/>
      <c r="I15" s="2" t="str">
        <f>Рар_Модули!C193</f>
        <v>T2 - Стол 120 х 60 см</v>
      </c>
      <c r="J15" s="85" t="s">
        <v>275</v>
      </c>
      <c r="K15" s="2"/>
      <c r="L15" s="82"/>
      <c r="M15" s="49" t="s">
        <v>272</v>
      </c>
      <c r="O15" s="84"/>
      <c r="P15" s="112" t="str">
        <f>Рар_Модули!C261</f>
        <v>T1 - Конференц-стол</v>
      </c>
      <c r="Q15" s="2"/>
      <c r="R15" s="2"/>
      <c r="S15" s="82"/>
      <c r="T15" s="49"/>
    </row>
    <row r="16" spans="1:20" ht="116" customHeight="1" x14ac:dyDescent="0.35">
      <c r="A16" s="89"/>
      <c r="B16" s="94"/>
      <c r="C16" s="92"/>
      <c r="D16" s="89"/>
      <c r="E16" s="90"/>
      <c r="F16" s="91"/>
      <c r="H16" s="89"/>
      <c r="I16" s="94"/>
      <c r="J16" s="92"/>
      <c r="K16" s="89"/>
      <c r="L16" s="90"/>
      <c r="M16" s="91"/>
      <c r="O16" s="89"/>
      <c r="P16" s="94"/>
      <c r="Q16" s="115" t="s">
        <v>289</v>
      </c>
      <c r="R16"/>
      <c r="S16" s="90"/>
      <c r="T16" s="91"/>
    </row>
    <row r="17" spans="1:20" s="83" customFormat="1" ht="20" x14ac:dyDescent="0.35">
      <c r="A17" s="84">
        <v>7</v>
      </c>
      <c r="B17" s="2" t="str">
        <f>Рар_Модули!C106</f>
        <v>T3 - Тумба металлическая, центральный замок</v>
      </c>
      <c r="C17" s="85" t="s">
        <v>224</v>
      </c>
      <c r="D17" s="2"/>
      <c r="E17" s="82">
        <f>Рар_Модули!M106</f>
        <v>13152</v>
      </c>
      <c r="F17" s="49" t="s">
        <v>219</v>
      </c>
      <c r="H17" s="84"/>
      <c r="I17" s="2" t="str">
        <f>Рар_Модули!C194</f>
        <v>T2 - Стол 160 х 80 см</v>
      </c>
      <c r="J17" s="85" t="s">
        <v>276</v>
      </c>
      <c r="K17" s="2"/>
      <c r="L17" s="82"/>
      <c r="M17" s="49" t="s">
        <v>272</v>
      </c>
      <c r="O17" s="84"/>
      <c r="P17" s="112" t="str">
        <f>Рар_Модули!C254</f>
        <v>T1 - Стол круглый D120 см</v>
      </c>
      <c r="Q17" s="85" t="s">
        <v>292</v>
      </c>
      <c r="R17" s="2"/>
      <c r="S17" s="82"/>
      <c r="T17" s="49"/>
    </row>
    <row r="18" spans="1:20" ht="109.5" customHeight="1" x14ac:dyDescent="0.35">
      <c r="A18" s="89"/>
      <c r="B18" s="93"/>
      <c r="C18" s="92"/>
      <c r="D18" s="89"/>
      <c r="E18" s="90"/>
      <c r="F18" s="91"/>
      <c r="H18" s="89"/>
      <c r="I18" s="93"/>
      <c r="J18" s="115" t="s">
        <v>290</v>
      </c>
      <c r="K18" s="89"/>
      <c r="L18" s="90"/>
      <c r="M18" s="91"/>
      <c r="O18" s="89"/>
      <c r="P18" s="94"/>
      <c r="Q18" s="92"/>
      <c r="R18" s="89"/>
      <c r="S18" s="90"/>
      <c r="T18" s="91"/>
    </row>
    <row r="19" spans="1:20" s="83" customFormat="1" ht="20" x14ac:dyDescent="0.35">
      <c r="A19" s="84">
        <v>121</v>
      </c>
      <c r="B19" s="2" t="str">
        <f>Рар_Модули!C84</f>
        <v>Вешалка напольная</v>
      </c>
      <c r="C19" s="85" t="s">
        <v>225</v>
      </c>
      <c r="D19" s="2"/>
      <c r="E19" s="82">
        <f>Рар_Модули!M84</f>
        <v>1485.6</v>
      </c>
      <c r="F19" s="49" t="s">
        <v>226</v>
      </c>
      <c r="H19" s="84"/>
      <c r="I19" s="2" t="s">
        <v>278</v>
      </c>
      <c r="J19" s="85" t="s">
        <v>277</v>
      </c>
      <c r="K19" s="2"/>
      <c r="L19" s="82"/>
      <c r="M19" s="49" t="s">
        <v>272</v>
      </c>
      <c r="O19" s="84"/>
      <c r="P19" s="112" t="str">
        <f>Рар_Модули!C255</f>
        <v>T1 - Тумба ДСП</v>
      </c>
      <c r="Q19" s="85" t="s">
        <v>284</v>
      </c>
      <c r="R19" s="2"/>
      <c r="S19" s="82"/>
      <c r="T19" s="49"/>
    </row>
    <row r="20" spans="1:20" ht="144" customHeight="1" x14ac:dyDescent="0.35">
      <c r="A20" s="89"/>
      <c r="B20" s="93"/>
      <c r="C20" s="92"/>
      <c r="D20" s="89"/>
      <c r="E20" s="90"/>
      <c r="F20" s="91"/>
      <c r="H20" s="89"/>
      <c r="I20" s="93"/>
      <c r="J20" s="92"/>
      <c r="K20" s="89"/>
      <c r="L20" s="90"/>
      <c r="M20" s="91"/>
      <c r="O20" s="89"/>
      <c r="P20" s="94"/>
      <c r="Q20" s="92"/>
      <c r="R20" s="89"/>
      <c r="S20" s="90"/>
      <c r="T20" s="91"/>
    </row>
    <row r="21" spans="1:20" s="83" customFormat="1" ht="20" x14ac:dyDescent="0.35">
      <c r="A21" s="84">
        <v>9</v>
      </c>
      <c r="B21" s="2" t="str">
        <f>Рар_Модули!C107</f>
        <v>T3 - Шкаф д/одежды двухстворчатый 1750х800х500 мм</v>
      </c>
      <c r="C21" s="85" t="s">
        <v>227</v>
      </c>
      <c r="D21" s="2"/>
      <c r="E21" s="82">
        <f>Рар_Модули!M107</f>
        <v>15999.599999999999</v>
      </c>
      <c r="F21" s="49" t="s">
        <v>219</v>
      </c>
      <c r="H21" s="84"/>
      <c r="I21" s="2" t="str">
        <f>Рар_Модули!C197</f>
        <v>T2 - Тумба ДСП</v>
      </c>
      <c r="J21" s="85" t="s">
        <v>279</v>
      </c>
      <c r="K21" s="2"/>
      <c r="L21" s="82"/>
      <c r="M21" s="49" t="s">
        <v>272</v>
      </c>
      <c r="O21" s="84"/>
      <c r="P21" s="112" t="s">
        <v>267</v>
      </c>
      <c r="Q21" s="85" t="s">
        <v>285</v>
      </c>
      <c r="R21" s="2"/>
      <c r="S21" s="82"/>
      <c r="T21" s="49"/>
    </row>
    <row r="22" spans="1:20" ht="115.25" customHeight="1" x14ac:dyDescent="0.35">
      <c r="A22" s="89"/>
      <c r="B22" s="93"/>
      <c r="C22" s="92"/>
      <c r="D22" s="89"/>
      <c r="E22" s="90"/>
      <c r="F22" s="91"/>
      <c r="H22" s="89"/>
      <c r="I22" s="93"/>
      <c r="J22"/>
      <c r="K22" s="89"/>
      <c r="L22" s="90"/>
      <c r="M22" s="91"/>
      <c r="O22" s="89"/>
      <c r="P22" s="94"/>
      <c r="Q22" s="92"/>
      <c r="R22" s="89"/>
      <c r="S22" s="90"/>
      <c r="T22" s="91"/>
    </row>
    <row r="23" spans="1:20" s="83" customFormat="1" ht="30" x14ac:dyDescent="0.35">
      <c r="A23" s="84">
        <v>14</v>
      </c>
      <c r="B23" s="2" t="s">
        <v>64</v>
      </c>
      <c r="C23" s="85" t="s">
        <v>228</v>
      </c>
      <c r="D23" s="2"/>
      <c r="E23" s="82">
        <f>Рар_Модули!M46</f>
        <v>14790</v>
      </c>
      <c r="F23" s="49" t="s">
        <v>226</v>
      </c>
      <c r="H23" s="84"/>
      <c r="I23" s="109" t="str">
        <f>Рар_Модули!C198</f>
        <v>T2 - Шкаф офисный для документов</v>
      </c>
      <c r="J23" s="85"/>
      <c r="K23" s="2"/>
      <c r="L23" s="82"/>
      <c r="M23" s="49" t="s">
        <v>272</v>
      </c>
      <c r="O23" s="84"/>
      <c r="P23" s="109" t="str">
        <f>Рар_Модули!C257</f>
        <v>T1 - Шкаф д/одежды двухстворчатый</v>
      </c>
      <c r="Q23" s="85" t="s">
        <v>287</v>
      </c>
      <c r="R23" s="2"/>
      <c r="S23" s="82"/>
      <c r="T23" s="49"/>
    </row>
    <row r="24" spans="1:20" ht="119.25" customHeight="1" x14ac:dyDescent="0.35">
      <c r="A24" s="89"/>
      <c r="B24" s="93"/>
      <c r="C24" s="92"/>
      <c r="D24" s="89"/>
      <c r="E24" s="90"/>
      <c r="F24" s="91"/>
      <c r="H24" s="89"/>
      <c r="I24" s="93"/>
      <c r="J24" s="92"/>
      <c r="K24" s="89"/>
      <c r="L24" s="90"/>
      <c r="M24" s="91"/>
      <c r="O24" s="89"/>
      <c r="P24" s="94"/>
      <c r="Q24" s="92"/>
      <c r="R24" s="89"/>
      <c r="S24" s="90"/>
      <c r="T24" s="91"/>
    </row>
    <row r="25" spans="1:20" s="83" customFormat="1" ht="33.75" customHeight="1" x14ac:dyDescent="0.35">
      <c r="A25" s="84">
        <v>134</v>
      </c>
      <c r="B25" s="2" t="s">
        <v>74</v>
      </c>
      <c r="C25" s="85"/>
      <c r="D25" s="2"/>
      <c r="E25" s="82">
        <f>Рар_Модули!M52</f>
        <v>0</v>
      </c>
      <c r="F25" s="49" t="s">
        <v>226</v>
      </c>
      <c r="H25" s="84"/>
      <c r="I25" s="109" t="str">
        <f>Рар_Модули!C199</f>
        <v>T2 - Шкаф офисный для документов и одежды</v>
      </c>
      <c r="J25" s="85"/>
      <c r="K25" s="2"/>
      <c r="L25" s="82"/>
      <c r="M25" s="49"/>
      <c r="O25" s="84"/>
      <c r="P25" s="109" t="str">
        <f>Рар_Модули!C258</f>
        <v>T1 - Шкаф офисный для документов</v>
      </c>
      <c r="Q25" s="85" t="s">
        <v>287</v>
      </c>
      <c r="R25" s="2"/>
      <c r="S25" s="82"/>
      <c r="T25" s="49"/>
    </row>
    <row r="26" spans="1:20" ht="117.75" customHeight="1" x14ac:dyDescent="0.35">
      <c r="A26" s="89"/>
      <c r="B26" s="93"/>
      <c r="C26" s="92"/>
      <c r="D26" s="89"/>
      <c r="E26" s="90"/>
      <c r="F26" s="91"/>
      <c r="H26" s="89"/>
      <c r="I26" s="93"/>
      <c r="J26" s="92"/>
      <c r="K26" s="89"/>
      <c r="L26" s="90"/>
      <c r="M26" s="91"/>
      <c r="O26" s="89"/>
      <c r="P26" s="94"/>
      <c r="Q26" s="92"/>
      <c r="R26" s="89"/>
      <c r="S26" s="90"/>
      <c r="T26" s="91"/>
    </row>
    <row r="27" spans="1:20" s="83" customFormat="1" ht="30" x14ac:dyDescent="0.35">
      <c r="A27" s="84">
        <v>89</v>
      </c>
      <c r="B27" s="2" t="str">
        <f>Рар_Модули!C86</f>
        <v>Скамья с вешалками 1500х380х1680 мм</v>
      </c>
      <c r="C27" s="85" t="s">
        <v>229</v>
      </c>
      <c r="D27" s="2"/>
      <c r="E27" s="82">
        <f>Рар_Модули!M86</f>
        <v>14327.000000000002</v>
      </c>
      <c r="F27" s="49" t="s">
        <v>219</v>
      </c>
      <c r="H27" s="84"/>
      <c r="I27" s="31" t="str">
        <f>Рар_Модули!C200</f>
        <v>T2 - Шкаф архивный низкий</v>
      </c>
      <c r="J27" s="85"/>
      <c r="K27" s="2"/>
      <c r="L27" s="82"/>
      <c r="M27" s="49"/>
      <c r="O27" s="84"/>
      <c r="P27" s="109" t="str">
        <f>Рар_Модули!C259</f>
        <v>T1 - Шкаф офисный для документов и одежды</v>
      </c>
      <c r="Q27" s="85" t="s">
        <v>287</v>
      </c>
      <c r="R27" s="2"/>
      <c r="S27" s="82"/>
      <c r="T27" s="49"/>
    </row>
    <row r="28" spans="1:20" ht="127.5" customHeight="1" x14ac:dyDescent="0.35">
      <c r="A28" s="89"/>
      <c r="B28" s="93"/>
      <c r="C28" s="92"/>
      <c r="D28" s="89"/>
      <c r="E28" s="90"/>
      <c r="F28" s="91"/>
      <c r="H28" s="89"/>
      <c r="I28" s="93"/>
      <c r="J28" s="92"/>
      <c r="K28" s="89"/>
      <c r="L28" s="90"/>
      <c r="M28" s="91"/>
      <c r="O28" s="89"/>
      <c r="P28" s="94"/>
      <c r="Q28" s="92"/>
      <c r="R28" s="89"/>
      <c r="S28" s="90"/>
      <c r="T28" s="91"/>
    </row>
    <row r="29" spans="1:20" s="83" customFormat="1" ht="32.25" customHeight="1" x14ac:dyDescent="0.35">
      <c r="A29" s="84">
        <v>187</v>
      </c>
      <c r="B29" s="2" t="str">
        <f>Рар_Модули!C85</f>
        <v>Скамья</v>
      </c>
      <c r="C29" s="85" t="s">
        <v>230</v>
      </c>
      <c r="D29" s="2"/>
      <c r="E29" s="82">
        <f>Рар_Модули!M85</f>
        <v>8571</v>
      </c>
      <c r="F29" s="49" t="s">
        <v>219</v>
      </c>
      <c r="H29" s="84"/>
      <c r="I29" s="2" t="str">
        <f>Рар_Модули!C201</f>
        <v>Т2 - Навесной шкаф для посуды</v>
      </c>
      <c r="J29" s="85" t="s">
        <v>281</v>
      </c>
      <c r="K29" s="2"/>
      <c r="L29" s="82"/>
      <c r="M29" s="49"/>
      <c r="O29" s="84"/>
      <c r="P29" s="113" t="str">
        <f>Рар_Модули!C260</f>
        <v>T1 - Шкаф архивный низкий</v>
      </c>
      <c r="Q29" s="85" t="s">
        <v>286</v>
      </c>
      <c r="R29" s="2"/>
      <c r="S29" s="82"/>
      <c r="T29" s="49"/>
    </row>
    <row r="30" spans="1:20" ht="106.65" customHeight="1" x14ac:dyDescent="0.35">
      <c r="A30" s="89"/>
      <c r="B30" s="93"/>
      <c r="C30" s="95"/>
      <c r="D30" s="96"/>
      <c r="E30" s="97"/>
      <c r="F30" s="98"/>
      <c r="H30" s="89"/>
      <c r="I30" s="93"/>
      <c r="J30"/>
      <c r="K30" s="96"/>
      <c r="L30" s="82"/>
      <c r="M30" s="110" t="s">
        <v>280</v>
      </c>
      <c r="O30" s="89"/>
      <c r="P30" s="94"/>
      <c r="Q30" s="95"/>
      <c r="R30" s="96"/>
      <c r="S30" s="97"/>
      <c r="T30" s="98"/>
    </row>
    <row r="31" spans="1:20" s="83" customFormat="1" ht="30" x14ac:dyDescent="0.35">
      <c r="A31" s="84">
        <v>12</v>
      </c>
      <c r="B31" s="2" t="str">
        <f>Рар_Модули!C91</f>
        <v>Стеллаж сборный 2000х1000х400 мм</v>
      </c>
      <c r="C31" s="85" t="s">
        <v>231</v>
      </c>
      <c r="D31" s="2"/>
      <c r="E31" s="82">
        <f>Рар_Модули!M91</f>
        <v>7791.5999999999995</v>
      </c>
      <c r="F31" s="49" t="s">
        <v>219</v>
      </c>
      <c r="H31" s="84"/>
      <c r="O31" s="84"/>
      <c r="P31" s="112" t="str">
        <f>Рар_Модули!C252</f>
        <v>T1 - Стол 120 х 80 см</v>
      </c>
      <c r="Q31" s="85" t="s">
        <v>300</v>
      </c>
      <c r="R31" s="2"/>
      <c r="S31" s="82"/>
      <c r="T31" s="49"/>
    </row>
    <row r="32" spans="1:20" ht="101.4" customHeight="1" x14ac:dyDescent="0.35">
      <c r="A32" s="89"/>
      <c r="B32" s="93"/>
      <c r="C32" s="92"/>
      <c r="D32" s="89"/>
      <c r="E32" s="90"/>
      <c r="F32" s="91"/>
      <c r="H32" s="89"/>
      <c r="O32" s="89"/>
      <c r="P32" s="94"/>
      <c r="Q32" s="92"/>
      <c r="R32" s="89"/>
      <c r="S32" s="90"/>
      <c r="T32" s="91"/>
    </row>
    <row r="33" spans="1:20" s="83" customFormat="1" ht="20" x14ac:dyDescent="0.35">
      <c r="A33" s="84">
        <v>13</v>
      </c>
      <c r="B33" s="2" t="str">
        <f>Рар_Модули!C99</f>
        <v>T3 - Стол 160 х 80 см</v>
      </c>
      <c r="C33" s="85" t="s">
        <v>232</v>
      </c>
      <c r="D33" s="2"/>
      <c r="E33" s="82">
        <f>Рар_Модули!M99</f>
        <v>13920</v>
      </c>
      <c r="F33" s="49" t="s">
        <v>226</v>
      </c>
      <c r="H33" s="84"/>
      <c r="I33" s="2"/>
      <c r="J33" s="85"/>
      <c r="K33" s="2"/>
      <c r="L33" s="82"/>
      <c r="M33" s="49"/>
      <c r="O33" s="84"/>
      <c r="P33" s="112"/>
      <c r="Q33" s="85"/>
      <c r="R33" s="2"/>
      <c r="S33" s="82"/>
      <c r="T33" s="49"/>
    </row>
    <row r="34" spans="1:20" ht="72" customHeight="1" x14ac:dyDescent="0.35">
      <c r="A34" s="89"/>
      <c r="B34" s="93"/>
      <c r="C34" s="92"/>
      <c r="D34" s="89"/>
      <c r="E34" s="90"/>
      <c r="F34" s="91"/>
      <c r="H34" s="89"/>
      <c r="I34" s="93"/>
      <c r="J34" s="92"/>
      <c r="K34" s="89"/>
      <c r="L34" s="90"/>
      <c r="M34" s="91"/>
      <c r="O34" s="89"/>
      <c r="P34" s="94"/>
      <c r="Q34" s="92"/>
      <c r="R34" s="89"/>
      <c r="S34" s="90"/>
      <c r="T34" s="91"/>
    </row>
    <row r="35" spans="1:20" s="83" customFormat="1" ht="20" x14ac:dyDescent="0.35">
      <c r="A35" s="84">
        <v>86</v>
      </c>
      <c r="B35" s="2" t="str">
        <f>Рар_Модули!C98</f>
        <v>T3- Стол 120 х 60 см</v>
      </c>
      <c r="C35" s="85" t="s">
        <v>233</v>
      </c>
      <c r="D35" s="2"/>
      <c r="E35" s="82">
        <f>Рар_Модули!M98</f>
        <v>12720</v>
      </c>
      <c r="F35" s="49" t="s">
        <v>226</v>
      </c>
      <c r="H35" s="84"/>
      <c r="I35" s="2"/>
      <c r="J35" s="85"/>
      <c r="K35" s="2"/>
      <c r="L35" s="82"/>
      <c r="M35" s="49"/>
      <c r="O35" s="84"/>
      <c r="P35" s="112"/>
      <c r="Q35" s="85"/>
      <c r="R35" s="2"/>
      <c r="S35" s="82"/>
      <c r="T35" s="49"/>
    </row>
    <row r="36" spans="1:20" ht="86" customHeight="1" x14ac:dyDescent="0.35">
      <c r="A36" s="89"/>
      <c r="B36" s="93"/>
      <c r="C36" s="92"/>
      <c r="D36" s="89"/>
      <c r="E36" s="90"/>
      <c r="F36" s="91"/>
      <c r="H36" s="89"/>
      <c r="I36" s="93"/>
      <c r="J36" s="92"/>
      <c r="K36" s="89"/>
      <c r="L36" s="90"/>
      <c r="M36" s="91"/>
      <c r="O36" s="89"/>
      <c r="P36" s="94"/>
      <c r="Q36" s="92"/>
      <c r="R36" s="89"/>
      <c r="S36" s="90"/>
      <c r="T36" s="91"/>
    </row>
    <row r="37" spans="1:20" s="83" customFormat="1" ht="20" x14ac:dyDescent="0.35">
      <c r="A37" s="84">
        <v>183</v>
      </c>
      <c r="B37" s="2" t="str">
        <f>Рар_Модули!C100</f>
        <v>T3 - Стол 80 х 80 см</v>
      </c>
      <c r="C37" s="85" t="s">
        <v>234</v>
      </c>
      <c r="D37" s="2"/>
      <c r="E37" s="82">
        <f>Рар_Модули!M100</f>
        <v>10320</v>
      </c>
      <c r="F37" s="49" t="s">
        <v>226</v>
      </c>
      <c r="H37" s="84"/>
      <c r="I37" s="2"/>
      <c r="J37" s="85"/>
      <c r="K37" s="2"/>
      <c r="L37" s="82"/>
      <c r="M37" s="49"/>
      <c r="O37" s="84"/>
      <c r="P37" s="2"/>
      <c r="Q37" s="85"/>
      <c r="R37" s="2"/>
      <c r="S37" s="82"/>
      <c r="T37" s="49"/>
    </row>
    <row r="38" spans="1:20" ht="87.5" customHeight="1" x14ac:dyDescent="0.35">
      <c r="A38" s="89"/>
      <c r="B38" s="93"/>
      <c r="C38" s="92"/>
      <c r="D38" s="89"/>
      <c r="E38" s="90"/>
      <c r="F38" s="91"/>
      <c r="H38" s="89"/>
      <c r="I38" s="93"/>
      <c r="J38" s="92"/>
      <c r="K38" s="89"/>
      <c r="L38" s="90"/>
      <c r="M38" s="91"/>
      <c r="O38" s="89"/>
      <c r="P38" s="93"/>
      <c r="Q38" s="92"/>
      <c r="R38" s="89"/>
      <c r="S38" s="90"/>
      <c r="T38" s="91"/>
    </row>
    <row r="39" spans="1:20" s="83" customFormat="1" ht="50" x14ac:dyDescent="0.35">
      <c r="A39" s="84">
        <v>15</v>
      </c>
      <c r="B39" s="2" t="s">
        <v>263</v>
      </c>
      <c r="C39" s="85" t="s">
        <v>235</v>
      </c>
      <c r="D39" s="2"/>
      <c r="E39" s="82"/>
      <c r="F39" s="49" t="s">
        <v>264</v>
      </c>
      <c r="H39" s="84"/>
      <c r="I39" s="2"/>
      <c r="J39" s="85"/>
      <c r="K39" s="2"/>
      <c r="L39" s="82"/>
      <c r="M39" s="49"/>
      <c r="O39" s="84"/>
      <c r="P39" s="2"/>
      <c r="Q39" s="85"/>
      <c r="R39" s="2"/>
      <c r="S39" s="82"/>
      <c r="T39" s="49"/>
    </row>
    <row r="40" spans="1:20" ht="98.4" customHeight="1" x14ac:dyDescent="0.35">
      <c r="A40" s="89"/>
      <c r="B40" s="93"/>
      <c r="C40" s="92"/>
      <c r="D40" s="89"/>
      <c r="E40" s="90"/>
      <c r="F40" s="91"/>
      <c r="H40" s="89"/>
      <c r="I40" s="93"/>
      <c r="J40" s="92"/>
      <c r="K40" s="92"/>
      <c r="L40" s="99"/>
      <c r="M40" s="100"/>
      <c r="O40" s="89"/>
      <c r="P40" s="93"/>
      <c r="Q40" s="92"/>
      <c r="R40" s="89"/>
      <c r="S40" s="90"/>
      <c r="T40" s="91"/>
    </row>
    <row r="41" spans="1:20" s="83" customFormat="1" ht="40" x14ac:dyDescent="0.35">
      <c r="A41" s="84">
        <v>11</v>
      </c>
      <c r="B41" s="2" t="s">
        <v>153</v>
      </c>
      <c r="C41" s="85" t="s">
        <v>237</v>
      </c>
      <c r="D41" s="2"/>
      <c r="E41" s="82">
        <f>Рар_Модули!M120</f>
        <v>38000</v>
      </c>
      <c r="F41" s="49" t="s">
        <v>238</v>
      </c>
      <c r="H41" s="84"/>
      <c r="I41" s="2"/>
      <c r="J41" s="85"/>
      <c r="K41" s="2"/>
      <c r="L41" s="82"/>
      <c r="M41" s="49"/>
      <c r="O41" s="84"/>
      <c r="P41" s="2"/>
      <c r="Q41" s="85"/>
      <c r="R41" s="2"/>
      <c r="S41" s="82"/>
      <c r="T41" s="49"/>
    </row>
    <row r="42" spans="1:20" ht="57.65" customHeight="1" x14ac:dyDescent="0.35">
      <c r="A42" s="89"/>
      <c r="B42" s="93"/>
      <c r="C42" s="92"/>
      <c r="D42" s="92"/>
      <c r="E42" s="99"/>
      <c r="F42" s="100"/>
      <c r="H42" s="89"/>
      <c r="I42" s="93"/>
      <c r="J42" s="92"/>
      <c r="K42" s="92"/>
      <c r="L42" s="99"/>
      <c r="M42" s="100"/>
      <c r="O42" s="89"/>
      <c r="P42" s="93"/>
      <c r="Q42" s="92"/>
      <c r="R42" s="92"/>
      <c r="S42" s="99"/>
      <c r="T42" s="100"/>
    </row>
    <row r="43" spans="1:20" s="83" customFormat="1" ht="80" x14ac:dyDescent="0.35">
      <c r="A43" s="84">
        <v>155</v>
      </c>
      <c r="B43" s="2" t="str">
        <f>Рар_Модули!C121</f>
        <v>Шкаф сушильный ШС Ветерок 1940</v>
      </c>
      <c r="C43" s="85" t="s">
        <v>239</v>
      </c>
      <c r="D43" s="2"/>
      <c r="E43" s="82">
        <f>Рар_Модули!M121</f>
        <v>48672</v>
      </c>
      <c r="F43" s="49" t="s">
        <v>240</v>
      </c>
      <c r="H43" s="84"/>
      <c r="I43" s="2"/>
      <c r="J43" s="85"/>
      <c r="K43" s="2"/>
      <c r="L43" s="82"/>
      <c r="M43" s="49"/>
      <c r="O43" s="84"/>
      <c r="P43" s="2"/>
      <c r="Q43" s="85"/>
      <c r="R43" s="2"/>
      <c r="S43" s="82"/>
      <c r="T43" s="49"/>
    </row>
    <row r="44" spans="1:20" ht="69" customHeight="1" x14ac:dyDescent="0.35">
      <c r="A44" s="89"/>
      <c r="B44" s="93"/>
      <c r="C44" s="92"/>
      <c r="D44" s="89"/>
      <c r="E44" s="90"/>
      <c r="F44" s="91"/>
      <c r="H44" s="89"/>
      <c r="I44" s="93"/>
      <c r="J44" s="92"/>
      <c r="K44" s="89"/>
      <c r="L44" s="90"/>
      <c r="M44" s="91"/>
      <c r="O44" s="89"/>
      <c r="P44" s="93"/>
      <c r="Q44" s="92"/>
      <c r="R44" s="89"/>
      <c r="S44" s="90"/>
      <c r="T44" s="91"/>
    </row>
    <row r="45" spans="1:20" s="83" customFormat="1" ht="14" customHeight="1" x14ac:dyDescent="0.35">
      <c r="A45" s="1">
        <v>118</v>
      </c>
      <c r="B45" s="2" t="str">
        <f>Рар_Модули!C31</f>
        <v>Зеркало</v>
      </c>
      <c r="C45" s="85"/>
      <c r="D45" s="2"/>
      <c r="E45" s="82">
        <f>Рар_Модули!M31</f>
        <v>0</v>
      </c>
      <c r="F45" s="49"/>
      <c r="H45" s="84"/>
      <c r="I45" s="2"/>
      <c r="J45" s="85"/>
      <c r="K45" s="2"/>
      <c r="L45" s="82"/>
      <c r="M45" s="49"/>
      <c r="O45" s="84"/>
      <c r="P45" s="2"/>
      <c r="Q45" s="85"/>
      <c r="R45" s="2"/>
      <c r="S45" s="82"/>
      <c r="T45" s="49"/>
    </row>
    <row r="46" spans="1:20" ht="73.150000000000006" customHeight="1" x14ac:dyDescent="0.35">
      <c r="A46" s="101"/>
      <c r="B46" s="89"/>
      <c r="C46" s="92"/>
      <c r="D46" s="89"/>
      <c r="E46" s="102"/>
      <c r="F46" s="91"/>
      <c r="H46" s="101"/>
      <c r="I46" s="89"/>
      <c r="J46" s="92"/>
      <c r="K46" s="89"/>
      <c r="L46" s="102"/>
      <c r="M46" s="91"/>
      <c r="O46" s="101"/>
      <c r="P46" s="89"/>
      <c r="Q46" s="92"/>
      <c r="R46" s="89"/>
      <c r="S46" s="102"/>
      <c r="T46" s="91"/>
    </row>
    <row r="47" spans="1:20" s="83" customFormat="1" ht="14" customHeight="1" x14ac:dyDescent="0.35">
      <c r="A47" s="84"/>
      <c r="B47" s="2" t="s">
        <v>185</v>
      </c>
      <c r="C47" s="85"/>
      <c r="D47" s="2"/>
      <c r="E47" s="82">
        <f>Рар_Модули!M88</f>
        <v>0</v>
      </c>
      <c r="F47" s="49"/>
      <c r="H47" s="84"/>
      <c r="I47" s="2"/>
      <c r="J47" s="85"/>
      <c r="K47" s="2"/>
      <c r="L47" s="82"/>
      <c r="M47" s="49"/>
      <c r="O47" s="84"/>
      <c r="P47" s="2"/>
      <c r="Q47" s="85"/>
      <c r="R47" s="2"/>
      <c r="S47" s="82"/>
      <c r="T47" s="49"/>
    </row>
    <row r="48" spans="1:20" ht="73.150000000000006" customHeight="1" x14ac:dyDescent="0.35">
      <c r="A48" s="101"/>
      <c r="B48" s="89"/>
      <c r="C48" s="92"/>
      <c r="D48" s="89"/>
      <c r="E48" s="102"/>
      <c r="F48" s="91"/>
      <c r="H48" s="101"/>
      <c r="I48" s="89"/>
      <c r="J48" s="92"/>
      <c r="K48" s="89"/>
      <c r="L48" s="102"/>
      <c r="M48" s="91"/>
      <c r="O48" s="101"/>
      <c r="P48" s="89"/>
      <c r="Q48" s="92"/>
      <c r="R48" s="89"/>
      <c r="S48" s="102"/>
      <c r="T48" s="91"/>
    </row>
    <row r="49" spans="1:20" s="83" customFormat="1" ht="14" customHeight="1" x14ac:dyDescent="0.35">
      <c r="A49" s="84"/>
      <c r="B49" s="2" t="str">
        <f>Рар_Модули!C112</f>
        <v>T3 - Шкаф-купе архивный низкий</v>
      </c>
      <c r="C49" s="85"/>
      <c r="D49" s="2"/>
      <c r="E49" s="82">
        <f>Рар_Модули!M112</f>
        <v>13014</v>
      </c>
      <c r="F49" s="49"/>
      <c r="H49" s="84"/>
      <c r="I49" s="2"/>
      <c r="J49" s="85"/>
      <c r="K49" s="2"/>
      <c r="L49" s="82"/>
      <c r="M49" s="49"/>
      <c r="O49" s="84"/>
      <c r="P49" s="2"/>
      <c r="Q49" s="85"/>
      <c r="R49" s="2"/>
      <c r="S49" s="82"/>
      <c r="T49" s="49"/>
    </row>
    <row r="50" spans="1:20" ht="73.150000000000006" customHeight="1" x14ac:dyDescent="0.35">
      <c r="A50" s="101"/>
      <c r="B50" s="89"/>
      <c r="C50" s="92"/>
      <c r="D50" s="89"/>
      <c r="E50" s="102"/>
      <c r="F50" s="91"/>
      <c r="H50" s="101"/>
      <c r="I50" s="89"/>
      <c r="J50" s="92"/>
      <c r="K50" s="89"/>
      <c r="L50" s="102"/>
      <c r="M50" s="91"/>
      <c r="O50" s="101"/>
      <c r="P50" s="89"/>
      <c r="Q50" s="92"/>
      <c r="R50" s="89"/>
      <c r="S50" s="102"/>
      <c r="T50" s="91"/>
    </row>
    <row r="80" spans="17:17" x14ac:dyDescent="0.35">
      <c r="Q80"/>
    </row>
  </sheetData>
  <pageMargins left="0.70866141732283505" right="0.70866141732283505" top="0.74803149606299202" bottom="0.74803149606299202" header="0.31496062992126" footer="0.31496062992126"/>
  <pageSetup paperSize="9" scale="33" fitToHeight="5" orientation="landscape" horizontalDpi="4294967295" verticalDpi="4294967295" r:id="rId1"/>
  <rowBreaks count="1" manualBreakCount="1">
    <brk id="25" max="16383" man="1"/>
  </rowBreaks>
  <colBreaks count="2" manualBreakCount="2">
    <brk id="7" max="1048575" man="1"/>
    <brk id="1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"/>
  <sheetViews>
    <sheetView workbookViewId="0">
      <selection activeCell="D2" sqref="D2"/>
    </sheetView>
  </sheetViews>
  <sheetFormatPr defaultRowHeight="14.5" x14ac:dyDescent="0.35"/>
  <cols>
    <col min="1" max="1" width="26.26953125" customWidth="1"/>
    <col min="2" max="4" width="14.7265625" customWidth="1"/>
  </cols>
  <sheetData>
    <row r="1" spans="1:6" x14ac:dyDescent="0.35">
      <c r="B1" t="s">
        <v>293</v>
      </c>
      <c r="C1" t="s">
        <v>294</v>
      </c>
      <c r="D1" t="s">
        <v>295</v>
      </c>
    </row>
    <row r="2" spans="1:6" x14ac:dyDescent="0.35">
      <c r="A2" t="s">
        <v>296</v>
      </c>
      <c r="B2">
        <f>Рар_Модули!O139</f>
        <v>9160</v>
      </c>
      <c r="C2">
        <f>Рар_Модули!O203</f>
        <v>9860</v>
      </c>
      <c r="D2">
        <f>Рар_Модули!O266</f>
        <v>12480</v>
      </c>
      <c r="E2">
        <f>C2/B2</f>
        <v>1.0764192139737991</v>
      </c>
      <c r="F2">
        <f>D2/B2</f>
        <v>1.3624454148471616</v>
      </c>
    </row>
    <row r="3" spans="1:6" x14ac:dyDescent="0.35">
      <c r="A3" t="s">
        <v>297</v>
      </c>
      <c r="B3">
        <f>Рар_Модули!O145</f>
        <v>8410</v>
      </c>
      <c r="C3">
        <f>Рар_Модули!O210</f>
        <v>7020</v>
      </c>
      <c r="D3">
        <f>Рар_Модули!O273</f>
        <v>13140</v>
      </c>
      <c r="E3">
        <f t="shared" ref="E3:E5" si="0">C3/B3</f>
        <v>0.83472057074910821</v>
      </c>
      <c r="F3">
        <f t="shared" ref="F3:F5" si="1">D3/B3</f>
        <v>1.5624256837098691</v>
      </c>
    </row>
    <row r="4" spans="1:6" x14ac:dyDescent="0.35">
      <c r="A4" t="s">
        <v>298</v>
      </c>
      <c r="B4">
        <f>Рар_Модули!O152</f>
        <v>10400</v>
      </c>
      <c r="C4">
        <f>Рар_Модули!O217</f>
        <v>9600</v>
      </c>
      <c r="D4">
        <f>Рар_Модули!O280</f>
        <v>14320</v>
      </c>
      <c r="E4">
        <f t="shared" si="0"/>
        <v>0.92307692307692313</v>
      </c>
      <c r="F4">
        <f t="shared" si="1"/>
        <v>1.3769230769230769</v>
      </c>
    </row>
    <row r="5" spans="1:6" x14ac:dyDescent="0.35">
      <c r="A5" t="s">
        <v>299</v>
      </c>
      <c r="B5">
        <f>Рар_Модули!O162</f>
        <v>4990</v>
      </c>
      <c r="C5" s="28">
        <f>Рар_Модули!O227</f>
        <v>5180</v>
      </c>
      <c r="D5">
        <f>Рар_Модули!O290</f>
        <v>7740</v>
      </c>
      <c r="E5">
        <f t="shared" si="0"/>
        <v>1.0380761523046091</v>
      </c>
      <c r="F5">
        <f t="shared" si="1"/>
        <v>1.5511022044088176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Рар_Модули</vt:lpstr>
      <vt:lpstr>Sheet1</vt:lpstr>
      <vt:lpstr>Packages</vt:lpstr>
      <vt:lpstr>Furniture</vt:lpstr>
      <vt:lpstr>Compare</vt:lpstr>
      <vt:lpstr>Furniture!Заголовки_для_печати</vt:lpstr>
    </vt:vector>
  </TitlesOfParts>
  <Company>ALGECO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Nurieva Albina</dc:creator>
  <cp:lastModifiedBy>User</cp:lastModifiedBy>
  <dcterms:created xsi:type="dcterms:W3CDTF">2017-09-26T17:07:22Z</dcterms:created>
  <dcterms:modified xsi:type="dcterms:W3CDTF">2024-04-17T11:17:11Z</dcterms:modified>
</cp:coreProperties>
</file>